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defaultThemeVersion="166925"/>
  <mc:AlternateContent xmlns:mc="http://schemas.openxmlformats.org/markup-compatibility/2006">
    <mc:Choice Requires="x15">
      <x15ac:absPath xmlns:x15ac="http://schemas.microsoft.com/office/spreadsheetml/2010/11/ac" url="https://anu365-my.sharepoint.com/personal/u6077046_anu_edu_au/Documents/Neighbourhood Battery Knowledge Hub/"/>
    </mc:Choice>
  </mc:AlternateContent>
  <xr:revisionPtr revIDLastSave="55" documentId="8_{1DE5DF46-7430-4269-AC00-907D7813E8AD}" xr6:coauthVersionLast="47" xr6:coauthVersionMax="47" xr10:uidLastSave="{FD0F0A6B-6E63-4840-AE40-4B2972E201BA}"/>
  <bookViews>
    <workbookView xWindow="-110" yWindow="-110" windowWidth="19420" windowHeight="10420" activeTab="1" xr2:uid="{81F0BB92-9308-46D0-8BAE-4A548E25B42C}"/>
  </bookViews>
  <sheets>
    <sheet name="NPV" sheetId="6" r:id="rId1"/>
    <sheet name="Costs" sheetId="1" r:id="rId2"/>
    <sheet name="Network charges" sheetId="7" r:id="rId3"/>
    <sheet name="Revenue" sheetId="5" r:id="rId4"/>
    <sheet name="Cap contract" sheetId="4" r:id="rId5"/>
    <sheet name="Energy arbitrage" sheetId="3" r:id="rId6"/>
    <sheet name="FCAS" sheetId="2"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7" l="1"/>
  <c r="J5" i="7"/>
  <c r="J4" i="7"/>
  <c r="F4" i="7"/>
  <c r="B33" i="6"/>
  <c r="Q36" i="6"/>
  <c r="P36" i="6"/>
  <c r="O36" i="6"/>
  <c r="N36" i="6"/>
  <c r="M36" i="6"/>
  <c r="L36" i="6"/>
  <c r="K36" i="6"/>
  <c r="J36" i="6"/>
  <c r="I36" i="6"/>
  <c r="H36" i="6"/>
  <c r="G36" i="6"/>
  <c r="F36" i="6"/>
  <c r="E36" i="6"/>
  <c r="D36" i="6"/>
  <c r="C36" i="6"/>
  <c r="M33" i="6"/>
  <c r="N33" i="6"/>
  <c r="O33" i="6"/>
  <c r="P33" i="6"/>
  <c r="Q33" i="6"/>
  <c r="B36" i="6"/>
  <c r="D33" i="6"/>
  <c r="E33" i="6"/>
  <c r="F33" i="6"/>
  <c r="G33" i="6"/>
  <c r="H33" i="6"/>
  <c r="I33" i="6"/>
  <c r="J33" i="6"/>
  <c r="K33" i="6"/>
  <c r="L33" i="6"/>
  <c r="C33" i="6"/>
  <c r="B35" i="6"/>
  <c r="B34" i="6"/>
  <c r="C30" i="6"/>
  <c r="D30" i="6" s="1"/>
  <c r="E30" i="6" s="1"/>
  <c r="F30" i="6" s="1"/>
  <c r="G30" i="6" s="1"/>
  <c r="H30" i="6" s="1"/>
  <c r="I30" i="6" s="1"/>
  <c r="J30" i="6" s="1"/>
  <c r="K30" i="6" s="1"/>
  <c r="L30" i="6" s="1"/>
  <c r="E33" i="5"/>
  <c r="E32" i="1"/>
  <c r="E6" i="1"/>
  <c r="Q34" i="6" l="1"/>
  <c r="P34" i="6"/>
  <c r="O34" i="6"/>
  <c r="N34" i="6"/>
  <c r="M34" i="6"/>
  <c r="L34" i="6"/>
  <c r="K34" i="6"/>
  <c r="J34" i="6"/>
  <c r="I34" i="6"/>
  <c r="H34" i="6"/>
  <c r="G34" i="6"/>
  <c r="F34" i="6"/>
  <c r="E34" i="6"/>
  <c r="D34" i="6"/>
  <c r="C34" i="6"/>
  <c r="B31" i="6"/>
  <c r="B15" i="7"/>
  <c r="B22" i="7" s="1"/>
  <c r="B13" i="7"/>
  <c r="B16" i="7"/>
  <c r="C16" i="7"/>
  <c r="C23" i="7" s="1"/>
  <c r="B14" i="7"/>
  <c r="B21" i="7" s="1"/>
  <c r="C15" i="7"/>
  <c r="C22" i="7" s="1"/>
  <c r="C14" i="7"/>
  <c r="C21" i="7" s="1"/>
  <c r="C13" i="7"/>
  <c r="C20" i="7" s="1"/>
  <c r="G5" i="6"/>
  <c r="G4" i="6"/>
  <c r="H4" i="6" s="1"/>
  <c r="I4" i="6" s="1"/>
  <c r="J4" i="6" s="1"/>
  <c r="K4" i="6" s="1"/>
  <c r="L4" i="6" s="1"/>
  <c r="M4" i="6" s="1"/>
  <c r="N4" i="6" s="1"/>
  <c r="O4" i="6" s="1"/>
  <c r="I14" i="2"/>
  <c r="H14" i="2"/>
  <c r="G14" i="2"/>
  <c r="F14" i="2"/>
  <c r="E14" i="2"/>
  <c r="D14" i="2"/>
  <c r="C14" i="2"/>
  <c r="B14" i="2"/>
  <c r="I13" i="2"/>
  <c r="H13" i="2"/>
  <c r="G13" i="2"/>
  <c r="F13" i="2"/>
  <c r="E13" i="2"/>
  <c r="D13" i="2"/>
  <c r="C13" i="2"/>
  <c r="B13" i="2"/>
  <c r="I12" i="2"/>
  <c r="H12" i="2"/>
  <c r="G12" i="2"/>
  <c r="F12" i="2"/>
  <c r="E12" i="2"/>
  <c r="D12" i="2"/>
  <c r="C12" i="2"/>
  <c r="B12" i="2"/>
  <c r="I11" i="2"/>
  <c r="H11" i="2"/>
  <c r="G11" i="2"/>
  <c r="F11" i="2"/>
  <c r="E11" i="2"/>
  <c r="D11" i="2"/>
  <c r="C11" i="2"/>
  <c r="B11" i="2"/>
  <c r="E29" i="5"/>
  <c r="D29" i="5"/>
  <c r="C29" i="5"/>
  <c r="B29" i="5"/>
  <c r="E28" i="5"/>
  <c r="D28" i="5"/>
  <c r="C28" i="5"/>
  <c r="B28" i="5"/>
  <c r="E27" i="5"/>
  <c r="D27" i="5"/>
  <c r="C27" i="5"/>
  <c r="B27" i="5"/>
  <c r="E26" i="5"/>
  <c r="D26" i="5"/>
  <c r="C26" i="5"/>
  <c r="B26" i="5"/>
  <c r="E22" i="5"/>
  <c r="D22" i="5"/>
  <c r="C22" i="5"/>
  <c r="B22" i="5"/>
  <c r="E21" i="5"/>
  <c r="D21" i="5"/>
  <c r="C21" i="5"/>
  <c r="B21" i="5"/>
  <c r="E20" i="5"/>
  <c r="D20" i="5"/>
  <c r="C20" i="5"/>
  <c r="B20" i="5"/>
  <c r="E19" i="5"/>
  <c r="D19" i="5"/>
  <c r="C19" i="5"/>
  <c r="B19" i="5"/>
  <c r="E15" i="5"/>
  <c r="D15" i="5"/>
  <c r="C15" i="5"/>
  <c r="B15" i="5"/>
  <c r="E14" i="5"/>
  <c r="D14" i="5"/>
  <c r="C14" i="5"/>
  <c r="B14" i="5"/>
  <c r="E13" i="5"/>
  <c r="D13" i="5"/>
  <c r="C13" i="5"/>
  <c r="B13" i="5"/>
  <c r="E12" i="5"/>
  <c r="D12" i="5"/>
  <c r="C12" i="5"/>
  <c r="B12" i="5"/>
  <c r="E8" i="5"/>
  <c r="D8" i="5"/>
  <c r="C8" i="5"/>
  <c r="B8" i="5"/>
  <c r="E7" i="5"/>
  <c r="D7" i="5"/>
  <c r="C7" i="5"/>
  <c r="B7" i="5"/>
  <c r="E6" i="5"/>
  <c r="D6" i="5"/>
  <c r="C6" i="5"/>
  <c r="B6" i="5"/>
  <c r="E5" i="5"/>
  <c r="D5" i="5"/>
  <c r="C5" i="5"/>
  <c r="B5" i="5"/>
  <c r="C7" i="4"/>
  <c r="E46" i="4"/>
  <c r="E3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E25" i="4"/>
  <c r="E26" i="4"/>
  <c r="E27" i="4"/>
  <c r="E28" i="4"/>
  <c r="E29" i="4"/>
  <c r="E30" i="4"/>
  <c r="E31" i="4"/>
  <c r="E32" i="4"/>
  <c r="E33" i="4"/>
  <c r="E34" i="4"/>
  <c r="E35" i="4"/>
  <c r="E36" i="4"/>
  <c r="E37" i="4"/>
  <c r="E39" i="4"/>
  <c r="E40" i="4"/>
  <c r="E41" i="4"/>
  <c r="E42" i="4"/>
  <c r="E43" i="4"/>
  <c r="E44" i="4"/>
  <c r="E45" i="4"/>
  <c r="E47" i="4"/>
  <c r="E48" i="4"/>
  <c r="E49" i="4"/>
  <c r="E50" i="4"/>
  <c r="E51" i="4"/>
  <c r="E52" i="4"/>
  <c r="E53" i="4"/>
  <c r="E54" i="4"/>
  <c r="E55" i="4"/>
  <c r="D22" i="7" l="1"/>
  <c r="C41" i="1" s="1"/>
  <c r="D14" i="7"/>
  <c r="D13" i="7"/>
  <c r="D16" i="7"/>
  <c r="D21" i="7"/>
  <c r="D15" i="7"/>
  <c r="B20" i="7"/>
  <c r="D20" i="7" s="1"/>
  <c r="B23" i="7"/>
  <c r="D23" i="7" s="1"/>
  <c r="C34" i="5"/>
  <c r="E35" i="5"/>
  <c r="C36" i="5"/>
  <c r="B34" i="5"/>
  <c r="H5" i="6"/>
  <c r="I5" i="6" s="1"/>
  <c r="J5" i="6" s="1"/>
  <c r="K5" i="6" s="1"/>
  <c r="L5" i="6" s="1"/>
  <c r="M5" i="6" s="1"/>
  <c r="N5" i="6" s="1"/>
  <c r="O5" i="6" s="1"/>
  <c r="E36" i="5"/>
  <c r="B33" i="5"/>
  <c r="B35" i="5"/>
  <c r="E34" i="5"/>
  <c r="C33" i="5"/>
  <c r="C35" i="5"/>
  <c r="D36" i="5"/>
  <c r="D33" i="5"/>
  <c r="D35" i="5"/>
  <c r="D34" i="5"/>
  <c r="B36" i="5"/>
  <c r="C9" i="4"/>
  <c r="C5" i="4"/>
  <c r="B19" i="4"/>
  <c r="C21" i="4"/>
  <c r="C19" i="4"/>
  <c r="C17" i="4"/>
  <c r="C15" i="4"/>
  <c r="D7" i="4"/>
  <c r="E4" i="4"/>
  <c r="E20" i="4"/>
  <c r="E18" i="4"/>
  <c r="E16" i="4"/>
  <c r="D21" i="4"/>
  <c r="B6" i="4"/>
  <c r="B20" i="4"/>
  <c r="B9" i="4"/>
  <c r="C20" i="4"/>
  <c r="E7" i="4"/>
  <c r="E15" i="4"/>
  <c r="E6" i="4"/>
  <c r="D15" i="4"/>
  <c r="D8" i="4"/>
  <c r="B43" i="5" s="1"/>
  <c r="E10" i="4"/>
  <c r="D4" i="4"/>
  <c r="D20" i="4"/>
  <c r="C10" i="4"/>
  <c r="C8" i="4"/>
  <c r="C4" i="4"/>
  <c r="C18" i="4"/>
  <c r="C16" i="4"/>
  <c r="D18" i="4"/>
  <c r="B18" i="4"/>
  <c r="B16" i="4"/>
  <c r="D10" i="4"/>
  <c r="D16" i="4"/>
  <c r="B8" i="4"/>
  <c r="E9" i="4"/>
  <c r="E5" i="4"/>
  <c r="E21" i="4"/>
  <c r="E19" i="4"/>
  <c r="E17" i="4"/>
  <c r="B10" i="4"/>
  <c r="D9" i="4"/>
  <c r="D5" i="4"/>
  <c r="D19" i="4"/>
  <c r="D17" i="4"/>
  <c r="D6" i="4"/>
  <c r="B7" i="4"/>
  <c r="B5" i="4"/>
  <c r="C6" i="4"/>
  <c r="E8" i="4"/>
  <c r="B21" i="4"/>
  <c r="B17" i="4"/>
  <c r="B15" i="4"/>
  <c r="B4" i="4"/>
  <c r="Q35" i="6" l="1"/>
  <c r="Q31" i="6" s="1"/>
  <c r="I35" i="6"/>
  <c r="I31" i="6" s="1"/>
  <c r="P35" i="6"/>
  <c r="P31" i="6" s="1"/>
  <c r="H35" i="6"/>
  <c r="H31" i="6" s="1"/>
  <c r="O35" i="6"/>
  <c r="O31" i="6" s="1"/>
  <c r="G35" i="6"/>
  <c r="G31" i="6" s="1"/>
  <c r="N35" i="6"/>
  <c r="N31" i="6" s="1"/>
  <c r="F35" i="6"/>
  <c r="F31" i="6" s="1"/>
  <c r="K35" i="6"/>
  <c r="K31" i="6" s="1"/>
  <c r="M35" i="6"/>
  <c r="M31" i="6" s="1"/>
  <c r="E35" i="6"/>
  <c r="E31" i="6" s="1"/>
  <c r="C35" i="6"/>
  <c r="C31" i="6" s="1"/>
  <c r="J35" i="6"/>
  <c r="J31" i="6" s="1"/>
  <c r="L35" i="6"/>
  <c r="L31" i="6" s="1"/>
  <c r="D35" i="6"/>
  <c r="D31" i="6" s="1"/>
  <c r="D41" i="1"/>
  <c r="C43" i="5"/>
  <c r="E43" i="5"/>
  <c r="D43" i="5"/>
  <c r="B40" i="5"/>
  <c r="B42" i="5"/>
  <c r="B41" i="5"/>
  <c r="F6" i="6"/>
  <c r="C10" i="6" s="1"/>
  <c r="A16" i="4"/>
  <c r="A17" i="4" s="1"/>
  <c r="A18" i="4" s="1"/>
  <c r="A19" i="4" s="1"/>
  <c r="A20" i="4" s="1"/>
  <c r="A21" i="4" s="1"/>
  <c r="A5" i="4"/>
  <c r="A6" i="4" s="1"/>
  <c r="A7" i="4" s="1"/>
  <c r="A8" i="4" s="1"/>
  <c r="A9" i="4" s="1"/>
  <c r="A10" i="4" s="1"/>
  <c r="A11" i="4" s="1"/>
  <c r="B38" i="6" l="1"/>
  <c r="D40" i="5"/>
  <c r="E40" i="5"/>
  <c r="C40" i="5"/>
  <c r="D42" i="5"/>
  <c r="C42" i="5"/>
  <c r="E42" i="5"/>
  <c r="E41" i="5"/>
  <c r="C41" i="5"/>
  <c r="D41" i="5"/>
  <c r="C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tc={F7553E01-803B-4B2D-BCFF-C3D1AD7C8967}</author>
    <author>tc={DC403087-1E49-4EDE-AD25-C19AD0ED0BD6}</author>
  </authors>
  <commentList>
    <comment ref="A13" authorId="0" shapeId="0" xr:uid="{F7553E01-803B-4B2D-BCFF-C3D1AD7C8967}">
      <text>
        <t>[Threaded comment]
Your version of Excel allows you to read this threaded comment; however, any edits to it will get removed if the file is opened in a newer version of Excel. Learn more: https://go.microsoft.com/fwlink/?linkid=870924
Comment:
    C-rate is a measure for the speed at which the battery charges. So a 1 C-rate means the battery fully charges within one hour</t>
      </text>
    </comment>
    <comment ref="C17" authorId="1" shapeId="0" xr:uid="{DC403087-1E49-4EDE-AD25-C19AD0ED0BD6}">
      <text>
        <t>[Threaded comment]
Your version of Excel allows you to read this threaded comment; however, any edits to it will get removed if the file is opened in a newer version of Excel. Learn more: https://go.microsoft.com/fwlink/?linkid=870924
Comment:
    The standard discount rate used for cost benefit analyses is 12%. A more conservative discount rate would be x%.</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tc={BA401A7D-7B69-4FAC-91DB-D9CA660B9591}</author>
    <author>tc={B144C31D-B75F-47B0-AB60-9E3D3E1CD0FE}</author>
    <author>tc={CC6ACD62-A625-4FDC-AF6C-EA44719F4E38}</author>
    <author>tc={20756AC3-F7BD-468D-8C85-3CE0CA01521A}</author>
    <author>tc={3DCA1CE5-95B2-4A93-9DBA-4CC7BD931E5F}</author>
    <author>tc={847B88C9-889E-4285-876D-6C93235CE9D7}</author>
    <author>tc={9883B92F-B2F0-45F0-B7B4-334E25CA6284}</author>
    <author>tc={9782D776-B29B-45E9-8577-E5C395F79F06}</author>
    <author>tc={418426B2-FC62-4911-92D8-29616165BC7B}</author>
    <author>tc={FD51C7E4-6B4E-4F1B-87A1-6B990F02CC58}</author>
    <author>tc={1B6AF315-2941-4C1A-8774-6FE1523B9E29}</author>
    <author>tc={204E7196-02C9-4922-B19E-6FBF4ED90E07}</author>
    <author>tc={CC9C46EB-B3D5-4E6C-A326-8B35B88AA7B8}</author>
    <author>tc={20B6ACC7-D171-4185-94EF-43E28B5BEC52}</author>
    <author>tc={DB332ACE-2774-4599-A2F5-3176725841B0}</author>
    <author>tc={8572842C-424B-4F60-9035-A007583CADDA}</author>
    <author>tc={65C36227-DE5E-4662-AA33-778C7D942E02}</author>
    <author>tc={4435C27B-BBD9-4162-9363-3AA47EA3476D}</author>
    <author>tc={88F4B967-5DF3-4FCF-BC55-BDDD64AB26FD}</author>
    <author>tc={C5C724F0-5930-4FA0-859B-AB181F7018AB}</author>
    <author>tc={21E8671B-6462-4CF9-92D2-8E1C41B49685}</author>
  </authors>
  <commentList>
    <comment ref="A10" authorId="0" shapeId="0" xr:uid="{BA401A7D-7B69-4FAC-91DB-D9CA660B9591}">
      <text>
        <t xml:space="preserve">[Threaded comment]
Your version of Excel allows you to read this threaded comment; however, any edits to it will get removed if the file is opened in a newer version of Excel. Learn more: https://go.microsoft.com/fwlink/?linkid=870924
Comment:
    Costs associated with conducting feasibility study of project (if externally contracted), including community engagement and surveys </t>
      </text>
    </comment>
    <comment ref="D12" authorId="1" shapeId="0" xr:uid="{B144C31D-B75F-47B0-AB60-9E3D3E1CD0FE}">
      <text>
        <t>[Threaded comment]
Your version of Excel allows you to read this threaded comment; however, any edits to it will get removed if the file is opened in a newer version of Excel. Learn more: https://go.microsoft.com/fwlink/?linkid=870924
Comment:
    For C4NET</t>
      </text>
    </comment>
    <comment ref="A13" authorId="2" shapeId="0" xr:uid="{CC6ACD62-A625-4FDC-AF6C-EA44719F4E38}">
      <text>
        <t>[Threaded comment]
Your version of Excel allows you to read this threaded comment; however, any edits to it will get removed if the file is opened in a newer version of Excel. Learn more: https://go.microsoft.com/fwlink/?linkid=870924
Comment:
    Pre-installation: 1.5 full time equivalent (FTE) for first year</t>
      </text>
    </comment>
    <comment ref="A14" authorId="3" shapeId="0" xr:uid="{20756AC3-F7BD-468D-8C85-3CE0CA01521A}">
      <text>
        <t>[Threaded comment]
Your version of Excel allows you to read this threaded comment; however, any edits to it will get removed if the file is opened in a newer version of Excel. Learn more: https://go.microsoft.com/fwlink/?linkid=870924
Comment:
    Consultant payout costs for energy, social legal, and/or insurance experts</t>
      </text>
    </comment>
    <comment ref="A15" authorId="4" shapeId="0" xr:uid="{3DCA1CE5-95B2-4A93-9DBA-4CC7BD931E5F}">
      <text>
        <t>[Threaded comment]
Your version of Excel allows you to read this threaded comment; however, any edits to it will get removed if the file is opened in a newer version of Excel. Learn more: https://go.microsoft.com/fwlink/?linkid=870924
Comment:
    Costs associated with engineering design of battery, the battery site, and its grid connection</t>
      </text>
    </comment>
    <comment ref="A16" authorId="5" shapeId="0" xr:uid="{847B88C9-889E-4285-876D-6C93235CE9D7}">
      <text>
        <t xml:space="preserve">[Threaded comment]
Your version of Excel allows you to read this threaded comment; however, any edits to it will get removed if the file is opened in a newer version of Excel. Learn more: https://go.microsoft.com/fwlink/?linkid=870924
Comment:
    Includes Li-ion modules and the battery’s power equipment (inverters and switch gear). Battery costs will vary depending on the battery technology selection </t>
      </text>
    </comment>
    <comment ref="A17" authorId="6" shapeId="0" xr:uid="{9883B92F-B2F0-45F0-B7B4-334E25CA6284}">
      <text>
        <t>[Threaded comment]
Your version of Excel allows you to read this threaded comment; however, any edits to it will get removed if the file is opened in a newer version of Excel. Learn more: https://go.microsoft.com/fwlink/?linkid=870924
Comment:
    Includes caging, hoarding, fencing etc. that may be required</t>
      </text>
    </comment>
    <comment ref="A18" authorId="7" shapeId="0" xr:uid="{9782D776-B29B-45E9-8577-E5C395F79F06}">
      <text>
        <t>[Threaded comment]
Your version of Excel allows you to read this threaded comment; however, any edits to it will get removed if the file is opened in a newer version of Excel. Learn more: https://go.microsoft.com/fwlink/?linkid=870924
Comment:
    Costs and equipment needed for connecting battery to the grid, including transformers, busbars, safety, mechanisms, cabling etc., including installation.</t>
      </text>
    </comment>
    <comment ref="A19" authorId="8" shapeId="0" xr:uid="{418426B2-FC62-4911-92D8-29616165BC7B}">
      <text>
        <t>[Threaded comment]
Your version of Excel allows you to read this threaded comment; however, any edits to it will get removed if the file is opened in a newer version of Excel. Learn more: https://go.microsoft.com/fwlink/?linkid=870924
Comment:
    Applicable in some cases, necessary to allow additional point of supply</t>
      </text>
    </comment>
    <comment ref="A20" authorId="9" shapeId="0" xr:uid="{FD51C7E4-6B4E-4F1B-87A1-6B990F02CC58}">
      <text>
        <t>[Threaded comment]
Your version of Excel allows you to read this threaded comment; however, any edits to it will get removed if the file is opened in a newer version of Excel. Learn more: https://go.microsoft.com/fwlink/?linkid=870924
Comment:
    Type 4 meter (smart meter), price will vary depending on distributor</t>
      </text>
    </comment>
    <comment ref="A21" authorId="10" shapeId="0" xr:uid="{1B6AF315-2941-4C1A-8774-6FE1523B9E29}">
      <text>
        <t>[Threaded comment]
Your version of Excel allows you to read this threaded comment; however, any edits to it will get removed if the file is opened in a newer version of Excel. Learn more: https://go.microsoft.com/fwlink/?linkid=870924
Comment:
    Includes any upfront hardware and software costs needed for battery’s digital management (non-recurring)</t>
      </text>
    </comment>
    <comment ref="A22" authorId="11" shapeId="0" xr:uid="{204E7196-02C9-4922-B19E-6FBF4ED90E07}">
      <text>
        <t>[Threaded comment]
Your version of Excel allows you to read this threaded comment; however, any edits to it will get removed if the file is opened in a newer version of Excel. Learn more: https://go.microsoft.com/fwlink/?linkid=870924
Comment:
    Costs associated with site preparation, construction and installation, and any non-recurring land costs</t>
      </text>
    </comment>
    <comment ref="A23" authorId="12" shapeId="0" xr:uid="{CC9C46EB-B3D5-4E6C-A326-8B35B88AA7B8}">
      <text>
        <t>[Threaded comment]
Your version of Excel allows you to read this threaded comment; however, any edits to it will get removed if the file is opened in a newer version of Excel. Learn more: https://go.microsoft.com/fwlink/?linkid=870924
Comment:
    Includes contracts and planning (non-recurring)</t>
      </text>
    </comment>
    <comment ref="A26" authorId="13" shapeId="0" xr:uid="{20B6ACC7-D171-4185-94EF-43E28B5BEC52}">
      <text>
        <t>[Threaded comment]
Your version of Excel allows you to read this threaded comment; however, any edits to it will get removed if the file is opened in a newer version of Excel. Learn more: https://go.microsoft.com/fwlink/?linkid=870924
Comment:
    Cost for procuring an artwork to design the exterior housing of the neighbourhood battery (as was done for YEF battery), or for other landscaping and/or tree planting around the battery</t>
      </text>
    </comment>
    <comment ref="A36" authorId="14" shapeId="0" xr:uid="{DB332ACE-2774-4599-A2F5-3176725841B0}">
      <text>
        <t>[Threaded comment]
Your version of Excel allows you to read this threaded comment; however, any edits to it will get removed if the file is opened in a newer version of Excel. Learn more: https://go.microsoft.com/fwlink/?linkid=870924
Comment:
    Ongoing project management salary, 0.3 FTE</t>
      </text>
    </comment>
    <comment ref="A37" authorId="15" shapeId="0" xr:uid="{8572842C-424B-4F60-9035-A007583CADDA}">
      <text>
        <t xml:space="preserve">[Threaded comment]
Your version of Excel allows you to read this threaded comment; however, any edits to it will get removed if the file is opened in a newer version of Excel. Learn more: https://go.microsoft.com/fwlink/?linkid=870924
Comment:
    Includes day-to-day costs of running battery’s IT services. </t>
      </text>
    </comment>
    <comment ref="A39" authorId="16" shapeId="0" xr:uid="{65C36227-DE5E-4662-AA33-778C7D942E02}">
      <text>
        <t>[Threaded comment]
Your version of Excel allows you to read this threaded comment; however, any edits to it will get removed if the file is opened in a newer version of Excel. Learn more: https://go.microsoft.com/fwlink/?linkid=870924
Comment:
    Software licences can be either commercial or open source. In the commercial case, annual license costs will apply. In the open source case, such as use of c3x, there are no annual license fee costs associated. In the open source case, this value would therefore be zero.</t>
      </text>
    </comment>
    <comment ref="A40" authorId="17" shapeId="0" xr:uid="{4435C27B-BBD9-4162-9363-3AA47EA3476D}">
      <text>
        <t>[Threaded comment]
Your version of Excel allows you to read this threaded comment; however, any edits to it will get removed if the file is opened in a newer version of Excel. Learn more: https://go.microsoft.com/fwlink/?linkid=870924
Comment:
    This will be dependent on your battery manufacturer, and typically range from $500 to $1,500 per annum, with some associated with more deluxe battery models in excess of $2,000.</t>
      </text>
    </comment>
    <comment ref="A41" authorId="18" shapeId="0" xr:uid="{88F4B967-5DF3-4FCF-BC55-BDDD64AB26FD}">
      <text>
        <t>[Threaded comment]
Your version of Excel allows you to read this threaded comment; however, any edits to it will get removed if the file is opened in a newer version of Excel. Learn more: https://go.microsoft.com/fwlink/?linkid=870924
Comment:
    Charges associated with charging/discharging battery. Will depend on the DNSP and what (if any) community battery tariff they offer. In this case, the Citipower, Powercor and United Energy tariff (which actually pays the battery in particular periods) has been used.</t>
      </text>
    </comment>
    <comment ref="A45" authorId="19" shapeId="0" xr:uid="{C5C724F0-5930-4FA0-859B-AB181F7018AB}">
      <text>
        <t>[Threaded comment]
Your version of Excel allows you to read this threaded comment; however, any edits to it will get removed if the file is opened in a newer version of Excel. Learn more: https://go.microsoft.com/fwlink/?linkid=870924
Comment:
    Costs associated with maintaining projects’ marketing and communication, such as project website, social media pages, dashboards etc.</t>
      </text>
    </comment>
    <comment ref="A46" authorId="20" shapeId="0" xr:uid="{21E8671B-6462-4CF9-92D2-8E1C41B49685}">
      <text>
        <t>[Threaded comment]
Your version of Excel allows you to read this threaded comment; however, any edits to it will get removed if the file is opened in a newer version of Excel. Learn more: https://go.microsoft.com/fwlink/?linkid=870924
Comment:
    Ongoing costs for conducting surveys, information sessions, outreach to the community etc. to maintain engagement with the project</t>
      </text>
    </comment>
  </commentList>
</comments>
</file>

<file path=xl/sharedStrings.xml><?xml version="1.0" encoding="utf-8"?>
<sst xmlns="http://schemas.openxmlformats.org/spreadsheetml/2006/main" count="398" uniqueCount="200">
  <si>
    <t>Assumptions</t>
  </si>
  <si>
    <t>Battery Tech Assumptions</t>
  </si>
  <si>
    <t>Units</t>
  </si>
  <si>
    <t>Value</t>
  </si>
  <si>
    <t>Battery health depreciation - linear</t>
  </si>
  <si>
    <t>Battery type</t>
  </si>
  <si>
    <t>Lithium ion</t>
  </si>
  <si>
    <t>Year</t>
  </si>
  <si>
    <t>Battery capacity</t>
  </si>
  <si>
    <t>kW</t>
  </si>
  <si>
    <t>Capacity %</t>
  </si>
  <si>
    <t>kWh</t>
  </si>
  <si>
    <t>Average (lifetime)</t>
  </si>
  <si>
    <t>Battery life</t>
  </si>
  <si>
    <t>years</t>
  </si>
  <si>
    <t>Degradation</t>
  </si>
  <si>
    <t>%</t>
  </si>
  <si>
    <t>To edit</t>
  </si>
  <si>
    <t>Battery end-of-life state of health</t>
  </si>
  <si>
    <t>Battery avg. annual degradation</t>
  </si>
  <si>
    <t>Battery round-trip efficiency</t>
  </si>
  <si>
    <t>Battery depth of discharge</t>
  </si>
  <si>
    <t>Battery C-rate</t>
  </si>
  <si>
    <t>Economic Assumptions</t>
  </si>
  <si>
    <t>Discount rate</t>
  </si>
  <si>
    <t>Operation Assumptions</t>
  </si>
  <si>
    <t>Select an option</t>
  </si>
  <si>
    <t>Operation schedule</t>
  </si>
  <si>
    <t>Solar soaking</t>
  </si>
  <si>
    <t>NEM region</t>
  </si>
  <si>
    <t>VIC</t>
  </si>
  <si>
    <t>Revenue streams</t>
  </si>
  <si>
    <t>Just energy arbitrage</t>
  </si>
  <si>
    <t>CAPEX</t>
  </si>
  <si>
    <t>Maximum</t>
  </si>
  <si>
    <t>OPEX</t>
  </si>
  <si>
    <t>Average</t>
  </si>
  <si>
    <t>Net Present Value (NPV)</t>
  </si>
  <si>
    <t>Cash flows</t>
  </si>
  <si>
    <t>Net cash flow</t>
  </si>
  <si>
    <t>Network charges</t>
  </si>
  <si>
    <t>Revenue</t>
  </si>
  <si>
    <t>NPV</t>
  </si>
  <si>
    <t>Costs</t>
  </si>
  <si>
    <t>Capital expenditure (CAPEX)</t>
  </si>
  <si>
    <t>Estimate CAPEX range</t>
  </si>
  <si>
    <t>Min. Value</t>
  </si>
  <si>
    <t>Max. Value</t>
  </si>
  <si>
    <t>Avg. Value</t>
  </si>
  <si>
    <t>Estimate CAPEX</t>
  </si>
  <si>
    <t>$/kWh</t>
  </si>
  <si>
    <t>Typical CAPEX Components</t>
  </si>
  <si>
    <t xml:space="preserve">Feasibility study </t>
  </si>
  <si>
    <t>$</t>
  </si>
  <si>
    <t>Business case</t>
  </si>
  <si>
    <t>Data</t>
  </si>
  <si>
    <t>Project management</t>
  </si>
  <si>
    <t>$/yr</t>
  </si>
  <si>
    <t>Expert advice</t>
  </si>
  <si>
    <t xml:space="preserve">Design </t>
  </si>
  <si>
    <t>Battery</t>
  </si>
  <si>
    <t xml:space="preserve">Other battery components  </t>
  </si>
  <si>
    <t xml:space="preserve">Grid integration/ connection </t>
  </si>
  <si>
    <t>Property sub-division or exemption</t>
  </si>
  <si>
    <t>Meter and meter installation</t>
  </si>
  <si>
    <t>Control and communication costs</t>
  </si>
  <si>
    <t>Land and site preparation</t>
  </si>
  <si>
    <t>$/m2</t>
  </si>
  <si>
    <t xml:space="preserve">Legal </t>
  </si>
  <si>
    <t>Governance</t>
  </si>
  <si>
    <t xml:space="preserve">Retail </t>
  </si>
  <si>
    <t>Artwork, landscaping,  treeplanting</t>
  </si>
  <si>
    <t>Operating expenditure (OPEX)</t>
  </si>
  <si>
    <t>Estimate OPEX range</t>
  </si>
  <si>
    <t>Estimate OPEX</t>
  </si>
  <si>
    <t>Typical OPEX Components</t>
  </si>
  <si>
    <t>IT operations</t>
  </si>
  <si>
    <t>Cloud hosting</t>
  </si>
  <si>
    <t>Software license (commercial)</t>
  </si>
  <si>
    <t>Battery maintenance</t>
  </si>
  <si>
    <t>Network charges*</t>
  </si>
  <si>
    <t>Land lease</t>
  </si>
  <si>
    <t>$/m2/yr</t>
  </si>
  <si>
    <t>Site maintenance</t>
  </si>
  <si>
    <t>Insurance</t>
  </si>
  <si>
    <t>Marketing &amp; communications</t>
  </si>
  <si>
    <t>Community engagement</t>
  </si>
  <si>
    <t>Financial reporting</t>
  </si>
  <si>
    <t>Revenue paid to aggregator</t>
  </si>
  <si>
    <t>% revenue/yr</t>
  </si>
  <si>
    <t>*Only associated with FTM batteries (not BTM)</t>
  </si>
  <si>
    <t>Cost options</t>
  </si>
  <si>
    <t>Minimum</t>
  </si>
  <si>
    <t>Network Charges</t>
  </si>
  <si>
    <t>CitiPower, Powercor and United Energy Community Battery Tariff*</t>
  </si>
  <si>
    <t>Time of day</t>
  </si>
  <si>
    <t>Import rate (c/kWh)</t>
  </si>
  <si>
    <t xml:space="preserve">Export rate c/kWh) </t>
  </si>
  <si>
    <t>Efficiency</t>
  </si>
  <si>
    <t>10am-3pm</t>
  </si>
  <si>
    <t>Charge period</t>
  </si>
  <si>
    <t>hours</t>
  </si>
  <si>
    <t>DoD</t>
  </si>
  <si>
    <t>4pm-9pm</t>
  </si>
  <si>
    <t>Discharge period</t>
  </si>
  <si>
    <t>SoH</t>
  </si>
  <si>
    <t>Other times</t>
  </si>
  <si>
    <t>*Note the CPPUEC tariff is only applicable to batteries with a capacity of &lt;240kVA (~216kW)</t>
  </si>
  <si>
    <t>Daily Charges (cents)</t>
  </si>
  <si>
    <t>Import</t>
  </si>
  <si>
    <t>Export</t>
  </si>
  <si>
    <t>Total</t>
  </si>
  <si>
    <t>Emissions reduction</t>
  </si>
  <si>
    <t>Revenue maximisation</t>
  </si>
  <si>
    <t>Peak demand management</t>
  </si>
  <si>
    <t>Annual Charges ($)</t>
  </si>
  <si>
    <t>Energy arbitrage</t>
  </si>
  <si>
    <t>Annual revenue (2018-21 mean)</t>
  </si>
  <si>
    <t>100kWh</t>
  </si>
  <si>
    <t>300kWh</t>
  </si>
  <si>
    <t>500kWh</t>
  </si>
  <si>
    <t>1000kWh</t>
  </si>
  <si>
    <t>NSW</t>
  </si>
  <si>
    <t>QLD</t>
  </si>
  <si>
    <t>SA</t>
  </si>
  <si>
    <t>FCAS</t>
  </si>
  <si>
    <t>Annual revenue (2018-2020 mean)</t>
  </si>
  <si>
    <t>100kW</t>
  </si>
  <si>
    <t>300kW</t>
  </si>
  <si>
    <t>500kW</t>
  </si>
  <si>
    <t>1000kW</t>
  </si>
  <si>
    <t>Cap contract</t>
  </si>
  <si>
    <t>Annual revenue (2018-20 mean)</t>
  </si>
  <si>
    <t>Network services</t>
  </si>
  <si>
    <t>TBA</t>
  </si>
  <si>
    <t>Subscriptions, memberships</t>
  </si>
  <si>
    <t>Future revenues</t>
  </si>
  <si>
    <t>Revenue stream options</t>
  </si>
  <si>
    <t>Energy arbitrage and FCAS</t>
  </si>
  <si>
    <t>Just FCAS (available for back-up power)</t>
  </si>
  <si>
    <t>Cap contract and FCAS</t>
  </si>
  <si>
    <t>Just cap contract</t>
  </si>
  <si>
    <t>Annually - purchased in previous quarter</t>
  </si>
  <si>
    <t>Annually - purchased in quarter of contract</t>
  </si>
  <si>
    <t>Quarterly - purchased in previous quarter</t>
  </si>
  <si>
    <t>NSW cap</t>
  </si>
  <si>
    <t>NSW settlement</t>
  </si>
  <si>
    <t>NSW premium</t>
  </si>
  <si>
    <t>NSW net</t>
  </si>
  <si>
    <t>SA cap</t>
  </si>
  <si>
    <t>SA settlement</t>
  </si>
  <si>
    <t>SA premium</t>
  </si>
  <si>
    <t>SA net</t>
  </si>
  <si>
    <t>VIC cap</t>
  </si>
  <si>
    <t>VIC settlement</t>
  </si>
  <si>
    <t>VIC premium</t>
  </si>
  <si>
    <t>VIC net</t>
  </si>
  <si>
    <t>QLD cap</t>
  </si>
  <si>
    <t>QLD settlement</t>
  </si>
  <si>
    <t>QLD premium</t>
  </si>
  <si>
    <t>QLD net</t>
  </si>
  <si>
    <t>2014-03-31 00:00:00+10:00</t>
  </si>
  <si>
    <t>2014-06-30 00:00:00+10:00</t>
  </si>
  <si>
    <t>2014-09-30 00:00:00+10:00</t>
  </si>
  <si>
    <t>2014-12-31 00:00:00+10:00</t>
  </si>
  <si>
    <t>2015-03-31 00:00:00+10:00</t>
  </si>
  <si>
    <t>2015-06-30 00:00:00+10:00</t>
  </si>
  <si>
    <t>2015-09-30 00:00:00+10:00</t>
  </si>
  <si>
    <t>2015-12-31 00:00:00+10:00</t>
  </si>
  <si>
    <t>2016-03-31 00:00:00+10:00</t>
  </si>
  <si>
    <t>2016-06-30 00:00:00+10:00</t>
  </si>
  <si>
    <t>2016-09-30 00:00:00+10:00</t>
  </si>
  <si>
    <t>2016-12-31 00:00:00+10:00</t>
  </si>
  <si>
    <t>2017-03-31 00:00:00+10:00</t>
  </si>
  <si>
    <t>2017-06-30 00:00:00+10:00</t>
  </si>
  <si>
    <t>2017-09-30 00:00:00+10:00</t>
  </si>
  <si>
    <t>2017-12-31 00:00:00+10:00</t>
  </si>
  <si>
    <t>2018-03-31 00:00:00+10:00</t>
  </si>
  <si>
    <t>2018-06-30 00:00:00+10:00</t>
  </si>
  <si>
    <t>2018-09-30 00:00:00+10:00</t>
  </si>
  <si>
    <t>2018-12-31 00:00:00+10:00</t>
  </si>
  <si>
    <t>2019-03-31 00:00:00+10:00</t>
  </si>
  <si>
    <t>2019-06-30 00:00:00+10:00</t>
  </si>
  <si>
    <t>2019-09-30 00:00:00+10:00</t>
  </si>
  <si>
    <t>2019-12-31 00:00:00+10:00</t>
  </si>
  <si>
    <t>2020-03-31 00:00:00+10:00</t>
  </si>
  <si>
    <t>2020-06-30 00:00:00+10:00</t>
  </si>
  <si>
    <t>2020-09-30 00:00:00+10:00</t>
  </si>
  <si>
    <t>2020-12-31 00:00:00+10:00</t>
  </si>
  <si>
    <t>2021-03-31 00:00:00+10:00</t>
  </si>
  <si>
    <t>2021-06-30 00:00:00+10:00</t>
  </si>
  <si>
    <t>2021-09-30 00:00:00+10:00</t>
  </si>
  <si>
    <t>Quarterly - purchased in quarter of contract</t>
  </si>
  <si>
    <t>Energy Arbitrage 1MWh Battery Lifetime Revenue</t>
  </si>
  <si>
    <t>Annual revenues discluding spot prices that exceed $500/MWh</t>
  </si>
  <si>
    <t>FCAS Annual 1MW Revenue</t>
  </si>
  <si>
    <t>Includes all eight FCAS markets (regulation and contingency)</t>
  </si>
  <si>
    <t>Perfect foresight (per 1MW)</t>
  </si>
  <si>
    <t>Imperfect foresight (per 1MW)</t>
  </si>
  <si>
    <t>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</si>
</sst>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_-&quot;$&quot;* #,##0.00_-;\-&quot;$&quot;* #,##0.00_-;_-&quot;$&quot;* &quot;-&quot;??_-;_-@_-"/>
    <numFmt numFmtId="166" formatCode="0.0"/>
    <numFmt numFmtId="167" formatCode="_-&quot;$&quot;* #,##0_-;\-&quot;$&quot;* #,##0_-;_-&quot;$&quot;* &quot;-&quot;??_-;_-@_-"/>
  </numFmts>
  <fonts count="15">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1"/>
      <name val="Calibri"/>
      <family val="2"/>
      <scheme val="minor"/>
    </font>
    <font>
      <sz val="11"/>
      <name val="Calibri"/>
      <family val="2"/>
      <scheme val="minor"/>
    </font>
    <font>
      <b/>
      <sz val="12"/>
      <color theme="1"/>
      <name val="Calibri"/>
      <family val="2"/>
      <scheme val="minor"/>
    </font>
    <font>
      <sz val="16"/>
      <color theme="1"/>
      <name val="Calibri"/>
      <family val="2"/>
      <scheme val="minor"/>
    </font>
    <font>
      <sz val="12"/>
      <color theme="1"/>
      <name val="Calibri"/>
      <family val="2"/>
      <scheme val="minor"/>
    </font>
    <font>
      <sz val="10"/>
      <color rgb="FF000000"/>
      <name val="Arial"/>
      <family val="2"/>
    </font>
    <font>
      <sz val="11"/>
      <color theme="1"/>
      <name val="Calibri"/>
      <family val="2"/>
    </font>
    <font>
      <sz val="11"/>
      <color rgb="FF000000"/>
      <name val="Calibri"/>
      <family val="2"/>
    </font>
    <font>
      <sz val="16"/>
      <name val="Calibri"/>
      <family val="2"/>
      <scheme val="minor"/>
    </font>
    <font>
      <sz val="13"/>
      <color theme="1"/>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165" fontId="1" fillId="0" borderId="0" applyFont="0" applyFill="0" applyBorder="0" applyAlignment="0" applyProtection="0"/>
  </cellStyleXfs>
  <cellXfs count="91">
    <xf numFmtId="0" fontId="0" fillId="0" borderId="0" xfId="0"/>
    <xf numFmtId="0" fontId="4" fillId="2" borderId="1" xfId="0" applyFont="1" applyFill="1" applyBorder="1"/>
    <xf numFmtId="0" fontId="0" fillId="2" borderId="0" xfId="0" applyFill="1"/>
    <xf numFmtId="0" fontId="0" fillId="2" borderId="2" xfId="0" applyFill="1" applyBorder="1"/>
    <xf numFmtId="0" fontId="0" fillId="2" borderId="3" xfId="0" applyFill="1" applyBorder="1"/>
    <xf numFmtId="0" fontId="0" fillId="0" borderId="4" xfId="0" applyBorder="1"/>
    <xf numFmtId="0" fontId="0" fillId="0" borderId="6" xfId="0" applyBorder="1"/>
    <xf numFmtId="0" fontId="0" fillId="2" borderId="1" xfId="0" applyFill="1" applyBorder="1"/>
    <xf numFmtId="0" fontId="0" fillId="2" borderId="5" xfId="0" applyFill="1" applyBorder="1"/>
    <xf numFmtId="9" fontId="0" fillId="3" borderId="0" xfId="0" applyNumberFormat="1" applyFill="1"/>
    <xf numFmtId="0" fontId="0" fillId="3" borderId="0" xfId="0" applyFill="1"/>
    <xf numFmtId="165" fontId="0" fillId="0" borderId="0" xfId="2" applyFont="1" applyBorder="1"/>
    <xf numFmtId="165" fontId="0" fillId="0" borderId="5" xfId="2" applyFont="1" applyBorder="1"/>
    <xf numFmtId="165" fontId="0" fillId="0" borderId="7" xfId="2" applyFont="1" applyBorder="1"/>
    <xf numFmtId="165" fontId="0" fillId="0" borderId="8" xfId="2" applyFont="1" applyBorder="1"/>
    <xf numFmtId="166" fontId="0" fillId="0" borderId="0" xfId="0" applyNumberFormat="1"/>
    <xf numFmtId="0" fontId="7" fillId="0" borderId="0" xfId="0" applyFont="1"/>
    <xf numFmtId="0" fontId="0" fillId="4" borderId="0" xfId="0" applyFill="1"/>
    <xf numFmtId="165" fontId="0" fillId="4" borderId="0" xfId="2" applyFont="1" applyFill="1" applyBorder="1"/>
    <xf numFmtId="0" fontId="7" fillId="4" borderId="0" xfId="0" applyFont="1" applyFill="1"/>
    <xf numFmtId="14" fontId="0" fillId="0" borderId="0" xfId="0" applyNumberFormat="1"/>
    <xf numFmtId="0" fontId="3" fillId="4" borderId="0" xfId="0" applyFont="1" applyFill="1"/>
    <xf numFmtId="0" fontId="8" fillId="0" borderId="0" xfId="0" applyFont="1"/>
    <xf numFmtId="1" fontId="0" fillId="0" borderId="0" xfId="0" applyNumberFormat="1"/>
    <xf numFmtId="165" fontId="0" fillId="0" borderId="0" xfId="0" applyNumberFormat="1"/>
    <xf numFmtId="165" fontId="0" fillId="0" borderId="5" xfId="0" applyNumberFormat="1" applyBorder="1"/>
    <xf numFmtId="165" fontId="0" fillId="0" borderId="7" xfId="0" applyNumberFormat="1" applyBorder="1"/>
    <xf numFmtId="165" fontId="0" fillId="0" borderId="8" xfId="0" applyNumberFormat="1" applyBorder="1"/>
    <xf numFmtId="0" fontId="9" fillId="0" borderId="0" xfId="0" applyFont="1" applyAlignment="1">
      <alignment vertical="center"/>
    </xf>
    <xf numFmtId="0" fontId="11" fillId="0" borderId="0" xfId="0" applyFont="1" applyAlignment="1">
      <alignment vertical="center"/>
    </xf>
    <xf numFmtId="0" fontId="11" fillId="0" borderId="4" xfId="0" applyFont="1" applyBorder="1" applyAlignment="1">
      <alignment vertical="center"/>
    </xf>
    <xf numFmtId="0" fontId="12" fillId="4" borderId="0" xfId="0" applyFont="1" applyFill="1"/>
    <xf numFmtId="0" fontId="10" fillId="0" borderId="0" xfId="0" applyFont="1"/>
    <xf numFmtId="0" fontId="10" fillId="0" borderId="7" xfId="0" applyFont="1" applyBorder="1"/>
    <xf numFmtId="0" fontId="0" fillId="0" borderId="7" xfId="0" applyBorder="1"/>
    <xf numFmtId="0" fontId="5" fillId="0" borderId="4" xfId="0" applyFont="1" applyBorder="1"/>
    <xf numFmtId="0" fontId="5" fillId="0" borderId="5" xfId="0" applyFont="1" applyBorder="1"/>
    <xf numFmtId="9" fontId="5" fillId="0" borderId="5" xfId="0" applyNumberFormat="1" applyFont="1" applyBorder="1"/>
    <xf numFmtId="9" fontId="5" fillId="0" borderId="5" xfId="1" applyFont="1" applyFill="1" applyBorder="1"/>
    <xf numFmtId="0" fontId="5" fillId="0" borderId="6" xfId="0" applyFont="1" applyBorder="1"/>
    <xf numFmtId="0" fontId="5" fillId="0" borderId="7" xfId="0" applyFont="1" applyBorder="1"/>
    <xf numFmtId="0" fontId="5" fillId="0" borderId="8" xfId="0" applyFont="1" applyBorder="1"/>
    <xf numFmtId="0" fontId="2" fillId="2" borderId="1" xfId="0" applyFont="1" applyFill="1" applyBorder="1"/>
    <xf numFmtId="0" fontId="2" fillId="2" borderId="0" xfId="0" applyFont="1" applyFill="1"/>
    <xf numFmtId="14" fontId="0" fillId="2" borderId="0" xfId="0" applyNumberFormat="1" applyFill="1"/>
    <xf numFmtId="14" fontId="2" fillId="2" borderId="0" xfId="0" applyNumberFormat="1" applyFont="1" applyFill="1"/>
    <xf numFmtId="0" fontId="0" fillId="2" borderId="4" xfId="0" applyFill="1" applyBorder="1"/>
    <xf numFmtId="0" fontId="6" fillId="0" borderId="0" xfId="0" applyFont="1"/>
    <xf numFmtId="0" fontId="4" fillId="2" borderId="2" xfId="0" applyFont="1" applyFill="1" applyBorder="1"/>
    <xf numFmtId="0" fontId="4" fillId="2" borderId="3" xfId="0" applyFont="1" applyFill="1" applyBorder="1"/>
    <xf numFmtId="0" fontId="5" fillId="0" borderId="0" xfId="0" applyFont="1"/>
    <xf numFmtId="0" fontId="4" fillId="0" borderId="0" xfId="0" applyFont="1"/>
    <xf numFmtId="165" fontId="10" fillId="0" borderId="0" xfId="0" applyNumberFormat="1" applyFont="1"/>
    <xf numFmtId="165" fontId="10" fillId="0" borderId="5" xfId="0" applyNumberFormat="1" applyFont="1" applyBorder="1"/>
    <xf numFmtId="165" fontId="10" fillId="0" borderId="0" xfId="1" applyNumberFormat="1" applyFont="1" applyFill="1" applyBorder="1"/>
    <xf numFmtId="165" fontId="10" fillId="0" borderId="5" xfId="1" applyNumberFormat="1" applyFont="1" applyFill="1" applyBorder="1"/>
    <xf numFmtId="9" fontId="0" fillId="0" borderId="0" xfId="0" applyNumberFormat="1"/>
    <xf numFmtId="166" fontId="0" fillId="4" borderId="0" xfId="0" applyNumberFormat="1" applyFill="1"/>
    <xf numFmtId="166" fontId="0" fillId="2" borderId="0" xfId="0" applyNumberFormat="1" applyFill="1"/>
    <xf numFmtId="165" fontId="10" fillId="0" borderId="7" xfId="0" applyNumberFormat="1" applyFont="1" applyBorder="1"/>
    <xf numFmtId="0" fontId="5" fillId="3" borderId="5" xfId="0" applyFont="1" applyFill="1" applyBorder="1"/>
    <xf numFmtId="0" fontId="11" fillId="0" borderId="6" xfId="0" applyFont="1" applyBorder="1" applyAlignment="1">
      <alignment vertical="center"/>
    </xf>
    <xf numFmtId="165" fontId="10" fillId="0" borderId="8" xfId="0" applyNumberFormat="1" applyFont="1" applyBorder="1"/>
    <xf numFmtId="0" fontId="3" fillId="0" borderId="0" xfId="0" applyFont="1"/>
    <xf numFmtId="0" fontId="7" fillId="0" borderId="0" xfId="0" applyFont="1" applyAlignment="1">
      <alignment horizontal="center"/>
    </xf>
    <xf numFmtId="0" fontId="0" fillId="0" borderId="1" xfId="0" applyBorder="1"/>
    <xf numFmtId="0" fontId="13" fillId="0" borderId="0" xfId="0" applyFont="1"/>
    <xf numFmtId="165" fontId="0" fillId="0" borderId="7" xfId="2" applyFont="1" applyFill="1" applyBorder="1"/>
    <xf numFmtId="165" fontId="0" fillId="0" borderId="8" xfId="2" applyFont="1" applyFill="1" applyBorder="1"/>
    <xf numFmtId="165" fontId="0" fillId="0" borderId="0" xfId="2" applyFont="1"/>
    <xf numFmtId="167" fontId="0" fillId="0" borderId="0" xfId="2" applyNumberFormat="1" applyFont="1"/>
    <xf numFmtId="0" fontId="14" fillId="0" borderId="0" xfId="0" applyFont="1"/>
    <xf numFmtId="167" fontId="14" fillId="0" borderId="0" xfId="2" applyNumberFormat="1" applyFont="1"/>
    <xf numFmtId="0" fontId="0" fillId="0" borderId="5" xfId="0" applyBorder="1"/>
    <xf numFmtId="0" fontId="2" fillId="2" borderId="3" xfId="0" applyFont="1" applyFill="1" applyBorder="1"/>
    <xf numFmtId="0" fontId="0" fillId="3" borderId="5" xfId="0" applyFill="1" applyBorder="1"/>
    <xf numFmtId="0" fontId="0" fillId="3" borderId="8" xfId="0" applyFill="1" applyBorder="1"/>
    <xf numFmtId="164" fontId="0" fillId="0" borderId="0" xfId="0" applyNumberFormat="1"/>
    <xf numFmtId="167" fontId="0" fillId="0" borderId="0" xfId="0" applyNumberFormat="1"/>
    <xf numFmtId="9" fontId="5" fillId="0" borderId="8" xfId="1" applyFont="1" applyFill="1" applyBorder="1"/>
    <xf numFmtId="0" fontId="0" fillId="0" borderId="13" xfId="0" applyBorder="1"/>
    <xf numFmtId="0" fontId="0" fillId="0" borderId="12" xfId="0" applyBorder="1"/>
    <xf numFmtId="0" fontId="0" fillId="0" borderId="11" xfId="0" applyBorder="1"/>
    <xf numFmtId="0" fontId="0" fillId="0" borderId="10" xfId="0" applyBorder="1"/>
    <xf numFmtId="0" fontId="0" fillId="0" borderId="9" xfId="0" applyBorder="1"/>
    <xf numFmtId="9" fontId="0" fillId="0" borderId="0" xfId="1" applyFont="1" applyBorder="1"/>
    <xf numFmtId="9" fontId="0" fillId="0" borderId="9" xfId="1" applyFont="1" applyBorder="1"/>
    <xf numFmtId="0" fontId="0" fillId="0" borderId="14" xfId="0" applyBorder="1"/>
    <xf numFmtId="9" fontId="0" fillId="0" borderId="7" xfId="1" applyFont="1" applyBorder="1"/>
    <xf numFmtId="0" fontId="0" fillId="0" borderId="15" xfId="0" applyBorder="1"/>
    <xf numFmtId="0" fontId="7" fillId="4" borderId="0" xfId="0" applyFont="1" applyFill="1" applyAlignment="1">
      <alignment horizontal="center"/>
    </xf>
  </cellXfs>
  <cellStyles count="3">
    <cellStyle name="Currency" xfId="2" builtinId="4"/>
    <cellStyle name="Normal" xfId="0" builtinId="0"/>
    <cellStyle name="Percent" xfId="1"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Annual cap contract revenue - contract purchased beginning previous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'Cap contract'!$B$3</c:f>
              <c:strCache>
                <c:ptCount val="1"/>
                <c:pt idx="0">
                  <c:v>NSW</c:v>
                </c:pt>
              </c:strCache>
            </c:strRef>
          </c:tx>
          <c:spPr>
            <a:solidFill>
              <a:schemeClr val="accent1"/>
            </a:solidFill>
            <a:ln>
              <a:noFill/>
            </a:ln>
            <a:effectLst/>
          </c:spPr>
          <c:invertIfNegative val="0"/>
          <c:cat>
            <c:numRef>
              <c:f>'Cap contract'!$A$4:$A$10</c:f>
              <c:numCache>
                <c:formatCode>General</c:formatCode>
                <c:ptCount val="7"/>
                <c:pt idx="0">
                  <c:v>2014</c:v>
                </c:pt>
                <c:pt idx="1">
                  <c:v>2015</c:v>
                </c:pt>
                <c:pt idx="2">
                  <c:v>2016</c:v>
                </c:pt>
                <c:pt idx="3">
                  <c:v>2017</c:v>
                </c:pt>
                <c:pt idx="4">
                  <c:v>2018</c:v>
                </c:pt>
                <c:pt idx="5">
                  <c:v>2019</c:v>
                </c:pt>
                <c:pt idx="6">
                  <c:v>2020</c:v>
                </c:pt>
              </c:numCache>
            </c:numRef>
          </c:cat>
          <c:val>
            <c:numRef>
              <c:f>'Cap contract'!$B$4:$B$10</c:f>
              <c:numCache>
                <c:formatCode>0</c:formatCode>
                <c:ptCount val="7"/>
                <c:pt idx="0">
                  <c:v>2147.4552727272712</c:v>
                </c:pt>
                <c:pt idx="1">
                  <c:v>3236.306153846152</c:v>
                </c:pt>
                <c:pt idx="2">
                  <c:v>6823.565670329659</c:v>
                </c:pt>
                <c:pt idx="3">
                  <c:v>10246.343384615371</c:v>
                </c:pt>
                <c:pt idx="4">
                  <c:v>7717.4614825174758</c:v>
                </c:pt>
                <c:pt idx="5">
                  <c:v>6841.041538461528</c:v>
                </c:pt>
                <c:pt idx="6">
                  <c:v>7740.9895384615338</c:v>
                </c:pt>
              </c:numCache>
            </c:numRef>
          </c:val>
          <c:extLst>
            <c:ext xmlns:c16="http://schemas.microsoft.com/office/drawing/2014/chart" uri="{C3380CC4-5D6E-409C-BE32-E72D297353CC}">
              <c16:uniqueId val="{00000000-F4C2-411E-90C5-39FCBBC78836}"/>
            </c:ext>
          </c:extLst>
        </c:ser>
        <c:ser>
          <c:idx val="1"/>
          <c:order val="1"/>
          <c:tx>
            <c:strRef>
              <c:f>'Cap contract'!$C$3</c:f>
              <c:strCache>
                <c:ptCount val="1"/>
                <c:pt idx="0">
                  <c:v>SA</c:v>
                </c:pt>
              </c:strCache>
            </c:strRef>
          </c:tx>
          <c:spPr>
            <a:solidFill>
              <a:schemeClr val="accent2"/>
            </a:solidFill>
            <a:ln>
              <a:noFill/>
            </a:ln>
            <a:effectLst/>
          </c:spPr>
          <c:invertIfNegative val="0"/>
          <c:cat>
            <c:numRef>
              <c:f>'Cap contract'!$A$4:$A$10</c:f>
              <c:numCache>
                <c:formatCode>General</c:formatCode>
                <c:ptCount val="7"/>
                <c:pt idx="0">
                  <c:v>2014</c:v>
                </c:pt>
                <c:pt idx="1">
                  <c:v>2015</c:v>
                </c:pt>
                <c:pt idx="2">
                  <c:v>2016</c:v>
                </c:pt>
                <c:pt idx="3">
                  <c:v>2017</c:v>
                </c:pt>
                <c:pt idx="4">
                  <c:v>2018</c:v>
                </c:pt>
                <c:pt idx="5">
                  <c:v>2019</c:v>
                </c:pt>
                <c:pt idx="6">
                  <c:v>2020</c:v>
                </c:pt>
              </c:numCache>
            </c:numRef>
          </c:cat>
          <c:val>
            <c:numRef>
              <c:f>'Cap contract'!$C$4:$C$10</c:f>
              <c:numCache>
                <c:formatCode>0</c:formatCode>
                <c:ptCount val="7"/>
                <c:pt idx="0">
                  <c:v>6348.9599999999937</c:v>
                </c:pt>
                <c:pt idx="1">
                  <c:v>11357.679999999991</c:v>
                </c:pt>
                <c:pt idx="2">
                  <c:v>27398.884615384603</c:v>
                </c:pt>
                <c:pt idx="3">
                  <c:v>2385</c:v>
                </c:pt>
                <c:pt idx="4">
                  <c:v>16260.55569230768</c:v>
                </c:pt>
                <c:pt idx="5">
                  <c:v>16653.900923076824</c:v>
                </c:pt>
                <c:pt idx="6">
                  <c:v>10633.198769230761</c:v>
                </c:pt>
              </c:numCache>
            </c:numRef>
          </c:val>
          <c:extLst>
            <c:ext xmlns:c16="http://schemas.microsoft.com/office/drawing/2014/chart" uri="{C3380CC4-5D6E-409C-BE32-E72D297353CC}">
              <c16:uniqueId val="{00000001-F4C2-411E-90C5-39FCBBC78836}"/>
            </c:ext>
          </c:extLst>
        </c:ser>
        <c:ser>
          <c:idx val="2"/>
          <c:order val="2"/>
          <c:tx>
            <c:strRef>
              <c:f>'Cap contract'!$D$3</c:f>
              <c:strCache>
                <c:ptCount val="1"/>
                <c:pt idx="0">
                  <c:v>VIC</c:v>
                </c:pt>
              </c:strCache>
            </c:strRef>
          </c:tx>
          <c:spPr>
            <a:solidFill>
              <a:schemeClr val="accent3"/>
            </a:solidFill>
            <a:ln>
              <a:noFill/>
            </a:ln>
            <a:effectLst/>
          </c:spPr>
          <c:invertIfNegative val="0"/>
          <c:cat>
            <c:numRef>
              <c:f>'Cap contract'!$A$4:$A$10</c:f>
              <c:numCache>
                <c:formatCode>General</c:formatCode>
                <c:ptCount val="7"/>
                <c:pt idx="0">
                  <c:v>2014</c:v>
                </c:pt>
                <c:pt idx="1">
                  <c:v>2015</c:v>
                </c:pt>
                <c:pt idx="2">
                  <c:v>2016</c:v>
                </c:pt>
                <c:pt idx="3">
                  <c:v>2017</c:v>
                </c:pt>
                <c:pt idx="4">
                  <c:v>2018</c:v>
                </c:pt>
                <c:pt idx="5">
                  <c:v>2019</c:v>
                </c:pt>
                <c:pt idx="6">
                  <c:v>2020</c:v>
                </c:pt>
              </c:numCache>
            </c:numRef>
          </c:cat>
          <c:val>
            <c:numRef>
              <c:f>'Cap contract'!$D$4:$D$10</c:f>
              <c:numCache>
                <c:formatCode>0</c:formatCode>
                <c:ptCount val="7"/>
                <c:pt idx="0">
                  <c:v>2820.56123076923</c:v>
                </c:pt>
                <c:pt idx="1">
                  <c:v>2958.1461538461531</c:v>
                </c:pt>
                <c:pt idx="2">
                  <c:v>4082.351208791205</c:v>
                </c:pt>
                <c:pt idx="3">
                  <c:v>14780.096461538449</c:v>
                </c:pt>
                <c:pt idx="4">
                  <c:v>10730.480727272716</c:v>
                </c:pt>
                <c:pt idx="5">
                  <c:v>16125.618769230721</c:v>
                </c:pt>
                <c:pt idx="6">
                  <c:v>9738.91</c:v>
                </c:pt>
              </c:numCache>
            </c:numRef>
          </c:val>
          <c:extLst>
            <c:ext xmlns:c16="http://schemas.microsoft.com/office/drawing/2014/chart" uri="{C3380CC4-5D6E-409C-BE32-E72D297353CC}">
              <c16:uniqueId val="{00000002-F4C2-411E-90C5-39FCBBC78836}"/>
            </c:ext>
          </c:extLst>
        </c:ser>
        <c:ser>
          <c:idx val="3"/>
          <c:order val="3"/>
          <c:tx>
            <c:strRef>
              <c:f>'Cap contract'!$E$3</c:f>
              <c:strCache>
                <c:ptCount val="1"/>
                <c:pt idx="0">
                  <c:v>QLD</c:v>
                </c:pt>
              </c:strCache>
            </c:strRef>
          </c:tx>
          <c:spPr>
            <a:solidFill>
              <a:schemeClr val="accent4"/>
            </a:solidFill>
            <a:ln>
              <a:noFill/>
            </a:ln>
            <a:effectLst/>
          </c:spPr>
          <c:invertIfNegative val="0"/>
          <c:cat>
            <c:numRef>
              <c:f>'Cap contract'!$A$4:$A$10</c:f>
              <c:numCache>
                <c:formatCode>General</c:formatCode>
                <c:ptCount val="7"/>
                <c:pt idx="0">
                  <c:v>2014</c:v>
                </c:pt>
                <c:pt idx="1">
                  <c:v>2015</c:v>
                </c:pt>
                <c:pt idx="2">
                  <c:v>2016</c:v>
                </c:pt>
                <c:pt idx="3">
                  <c:v>2017</c:v>
                </c:pt>
                <c:pt idx="4">
                  <c:v>2018</c:v>
                </c:pt>
                <c:pt idx="5">
                  <c:v>2019</c:v>
                </c:pt>
                <c:pt idx="6">
                  <c:v>2020</c:v>
                </c:pt>
              </c:numCache>
            </c:numRef>
          </c:cat>
          <c:val>
            <c:numRef>
              <c:f>'Cap contract'!$E$4:$E$10</c:f>
              <c:numCache>
                <c:formatCode>0</c:formatCode>
                <c:ptCount val="7"/>
                <c:pt idx="0">
                  <c:v>7630.645034965024</c:v>
                </c:pt>
                <c:pt idx="1">
                  <c:v>13141.373076923071</c:v>
                </c:pt>
                <c:pt idx="2">
                  <c:v>13208.590285714281</c:v>
                </c:pt>
                <c:pt idx="3">
                  <c:v>10510.692461538449</c:v>
                </c:pt>
                <c:pt idx="4">
                  <c:v>4799.4852587412497</c:v>
                </c:pt>
                <c:pt idx="5">
                  <c:v>3992.435846153845</c:v>
                </c:pt>
                <c:pt idx="6">
                  <c:v>3699.1161538461529</c:v>
                </c:pt>
              </c:numCache>
            </c:numRef>
          </c:val>
          <c:extLst>
            <c:ext xmlns:c16="http://schemas.microsoft.com/office/drawing/2014/chart" uri="{C3380CC4-5D6E-409C-BE32-E72D297353CC}">
              <c16:uniqueId val="{00000003-F4C2-411E-90C5-39FCBBC78836}"/>
            </c:ext>
          </c:extLst>
        </c:ser>
        <c:dLbls>
          <c:showLegendKey val="0"/>
          <c:showVal val="0"/>
          <c:showCatName val="0"/>
          <c:showSerName val="0"/>
          <c:showPercent val="0"/>
          <c:showBubbleSize val="0"/>
        </c:dLbls>
        <c:gapWidth val="219"/>
        <c:overlap val="-27"/>
        <c:axId val="1499301504"/>
        <c:axId val="1499299424"/>
      </c:barChart>
      <c:catAx>
        <c:axId val="149930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9299424"/>
        <c:crosses val="autoZero"/>
        <c:auto val="1"/>
        <c:lblAlgn val="ctr"/>
        <c:lblOffset val="100"/>
        <c:noMultiLvlLbl val="0"/>
      </c:catAx>
      <c:valAx>
        <c:axId val="149929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9301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Annual cap contract revenue - contract</a:t>
            </a:r>
            <a:r>
              <a:rPr lang="en-AU" baseline="0"/>
              <a:t> purchased beginning current quarter</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'Cap contract'!$B$14</c:f>
              <c:strCache>
                <c:ptCount val="1"/>
                <c:pt idx="0">
                  <c:v>NSW</c:v>
                </c:pt>
              </c:strCache>
            </c:strRef>
          </c:tx>
          <c:spPr>
            <a:solidFill>
              <a:schemeClr val="accent1"/>
            </a:solidFill>
            <a:ln>
              <a:noFill/>
            </a:ln>
            <a:effectLst/>
          </c:spPr>
          <c:invertIfNegative val="0"/>
          <c:cat>
            <c:numRef>
              <c:f>'Cap contract'!$A$15:$A$21</c:f>
              <c:numCache>
                <c:formatCode>General</c:formatCode>
                <c:ptCount val="7"/>
                <c:pt idx="0">
                  <c:v>2014</c:v>
                </c:pt>
                <c:pt idx="1">
                  <c:v>2015</c:v>
                </c:pt>
                <c:pt idx="2">
                  <c:v>2016</c:v>
                </c:pt>
                <c:pt idx="3">
                  <c:v>2017</c:v>
                </c:pt>
                <c:pt idx="4">
                  <c:v>2018</c:v>
                </c:pt>
                <c:pt idx="5">
                  <c:v>2019</c:v>
                </c:pt>
                <c:pt idx="6">
                  <c:v>2020</c:v>
                </c:pt>
              </c:numCache>
            </c:numRef>
          </c:cat>
          <c:val>
            <c:numRef>
              <c:f>'Cap contract'!$B$15:$B$21</c:f>
              <c:numCache>
                <c:formatCode>0</c:formatCode>
                <c:ptCount val="7"/>
                <c:pt idx="0">
                  <c:v>809.29790209789996</c:v>
                </c:pt>
                <c:pt idx="1">
                  <c:v>1883.0892307692288</c:v>
                </c:pt>
                <c:pt idx="2">
                  <c:v>3345.2607032966971</c:v>
                </c:pt>
                <c:pt idx="3">
                  <c:v>6217.1269230769212</c:v>
                </c:pt>
                <c:pt idx="4">
                  <c:v>2978.3958041957962</c:v>
                </c:pt>
                <c:pt idx="5">
                  <c:v>3656.9064615384559</c:v>
                </c:pt>
                <c:pt idx="6">
                  <c:v>9480.7279999999973</c:v>
                </c:pt>
              </c:numCache>
            </c:numRef>
          </c:val>
          <c:extLst>
            <c:ext xmlns:c16="http://schemas.microsoft.com/office/drawing/2014/chart" uri="{C3380CC4-5D6E-409C-BE32-E72D297353CC}">
              <c16:uniqueId val="{00000000-2B2A-486B-9101-619D3E05765B}"/>
            </c:ext>
          </c:extLst>
        </c:ser>
        <c:ser>
          <c:idx val="1"/>
          <c:order val="1"/>
          <c:tx>
            <c:strRef>
              <c:f>'Cap contract'!$C$14</c:f>
              <c:strCache>
                <c:ptCount val="1"/>
                <c:pt idx="0">
                  <c:v>SA</c:v>
                </c:pt>
              </c:strCache>
            </c:strRef>
          </c:tx>
          <c:spPr>
            <a:solidFill>
              <a:schemeClr val="accent2"/>
            </a:solidFill>
            <a:ln>
              <a:noFill/>
            </a:ln>
            <a:effectLst/>
          </c:spPr>
          <c:invertIfNegative val="0"/>
          <c:cat>
            <c:numRef>
              <c:f>'Cap contract'!$A$15:$A$21</c:f>
              <c:numCache>
                <c:formatCode>General</c:formatCode>
                <c:ptCount val="7"/>
                <c:pt idx="0">
                  <c:v>2014</c:v>
                </c:pt>
                <c:pt idx="1">
                  <c:v>2015</c:v>
                </c:pt>
                <c:pt idx="2">
                  <c:v>2016</c:v>
                </c:pt>
                <c:pt idx="3">
                  <c:v>2017</c:v>
                </c:pt>
                <c:pt idx="4">
                  <c:v>2018</c:v>
                </c:pt>
                <c:pt idx="5">
                  <c:v>2019</c:v>
                </c:pt>
                <c:pt idx="6">
                  <c:v>2020</c:v>
                </c:pt>
              </c:numCache>
            </c:numRef>
          </c:cat>
          <c:val>
            <c:numRef>
              <c:f>'Cap contract'!$C$15:$C$21</c:f>
              <c:numCache>
                <c:formatCode>0</c:formatCode>
                <c:ptCount val="7"/>
                <c:pt idx="0">
                  <c:v>5464.0276923076808</c:v>
                </c:pt>
                <c:pt idx="1">
                  <c:v>9022.4104615384495</c:v>
                </c:pt>
                <c:pt idx="2">
                  <c:v>21441.735164835147</c:v>
                </c:pt>
                <c:pt idx="3">
                  <c:v>16409.457230769211</c:v>
                </c:pt>
                <c:pt idx="4">
                  <c:v>14009.069538461521</c:v>
                </c:pt>
                <c:pt idx="5">
                  <c:v>14893.731692307634</c:v>
                </c:pt>
                <c:pt idx="6">
                  <c:v>8895.6184615384554</c:v>
                </c:pt>
              </c:numCache>
            </c:numRef>
          </c:val>
          <c:extLst>
            <c:ext xmlns:c16="http://schemas.microsoft.com/office/drawing/2014/chart" uri="{C3380CC4-5D6E-409C-BE32-E72D297353CC}">
              <c16:uniqueId val="{00000001-2B2A-486B-9101-619D3E05765B}"/>
            </c:ext>
          </c:extLst>
        </c:ser>
        <c:ser>
          <c:idx val="2"/>
          <c:order val="2"/>
          <c:tx>
            <c:strRef>
              <c:f>'Cap contract'!$D$14</c:f>
              <c:strCache>
                <c:ptCount val="1"/>
                <c:pt idx="0">
                  <c:v>VIC</c:v>
                </c:pt>
              </c:strCache>
            </c:strRef>
          </c:tx>
          <c:spPr>
            <a:solidFill>
              <a:schemeClr val="accent3"/>
            </a:solidFill>
            <a:ln>
              <a:noFill/>
            </a:ln>
            <a:effectLst/>
          </c:spPr>
          <c:invertIfNegative val="0"/>
          <c:cat>
            <c:numRef>
              <c:f>'Cap contract'!$A$15:$A$21</c:f>
              <c:numCache>
                <c:formatCode>General</c:formatCode>
                <c:ptCount val="7"/>
                <c:pt idx="0">
                  <c:v>2014</c:v>
                </c:pt>
                <c:pt idx="1">
                  <c:v>2015</c:v>
                </c:pt>
                <c:pt idx="2">
                  <c:v>2016</c:v>
                </c:pt>
                <c:pt idx="3">
                  <c:v>2017</c:v>
                </c:pt>
                <c:pt idx="4">
                  <c:v>2018</c:v>
                </c:pt>
                <c:pt idx="5">
                  <c:v>2019</c:v>
                </c:pt>
                <c:pt idx="6">
                  <c:v>2020</c:v>
                </c:pt>
              </c:numCache>
            </c:numRef>
          </c:cat>
          <c:val>
            <c:numRef>
              <c:f>'Cap contract'!$D$15:$D$21</c:f>
              <c:numCache>
                <c:formatCode>0</c:formatCode>
                <c:ptCount val="7"/>
                <c:pt idx="0">
                  <c:v>2398.2008951048897</c:v>
                </c:pt>
                <c:pt idx="1">
                  <c:v>1138.0523076923077</c:v>
                </c:pt>
                <c:pt idx="2">
                  <c:v>2876.5203956043952</c:v>
                </c:pt>
                <c:pt idx="3">
                  <c:v>3130.6199999999949</c:v>
                </c:pt>
                <c:pt idx="4">
                  <c:v>7349.3949650349614</c:v>
                </c:pt>
                <c:pt idx="5">
                  <c:v>14054.471538461448</c:v>
                </c:pt>
                <c:pt idx="6">
                  <c:v>9303.7146153846043</c:v>
                </c:pt>
              </c:numCache>
            </c:numRef>
          </c:val>
          <c:extLst>
            <c:ext xmlns:c16="http://schemas.microsoft.com/office/drawing/2014/chart" uri="{C3380CC4-5D6E-409C-BE32-E72D297353CC}">
              <c16:uniqueId val="{00000002-2B2A-486B-9101-619D3E05765B}"/>
            </c:ext>
          </c:extLst>
        </c:ser>
        <c:ser>
          <c:idx val="3"/>
          <c:order val="3"/>
          <c:tx>
            <c:strRef>
              <c:f>'Cap contract'!$E$14</c:f>
              <c:strCache>
                <c:ptCount val="1"/>
                <c:pt idx="0">
                  <c:v>QLD</c:v>
                </c:pt>
              </c:strCache>
            </c:strRef>
          </c:tx>
          <c:spPr>
            <a:solidFill>
              <a:schemeClr val="accent4"/>
            </a:solidFill>
            <a:ln>
              <a:noFill/>
            </a:ln>
            <a:effectLst/>
          </c:spPr>
          <c:invertIfNegative val="0"/>
          <c:cat>
            <c:numRef>
              <c:f>'Cap contract'!$A$15:$A$21</c:f>
              <c:numCache>
                <c:formatCode>General</c:formatCode>
                <c:ptCount val="7"/>
                <c:pt idx="0">
                  <c:v>2014</c:v>
                </c:pt>
                <c:pt idx="1">
                  <c:v>2015</c:v>
                </c:pt>
                <c:pt idx="2">
                  <c:v>2016</c:v>
                </c:pt>
                <c:pt idx="3">
                  <c:v>2017</c:v>
                </c:pt>
                <c:pt idx="4">
                  <c:v>2018</c:v>
                </c:pt>
                <c:pt idx="5">
                  <c:v>2019</c:v>
                </c:pt>
                <c:pt idx="6">
                  <c:v>2020</c:v>
                </c:pt>
              </c:numCache>
            </c:numRef>
          </c:cat>
          <c:val>
            <c:numRef>
              <c:f>'Cap contract'!$E$15:$E$21</c:f>
              <c:numCache>
                <c:formatCode>0</c:formatCode>
                <c:ptCount val="7"/>
                <c:pt idx="0">
                  <c:v>6098.3586013985823</c:v>
                </c:pt>
                <c:pt idx="1">
                  <c:v>12989.058461538441</c:v>
                </c:pt>
                <c:pt idx="2">
                  <c:v>8421.4668131868075</c:v>
                </c:pt>
                <c:pt idx="3">
                  <c:v>17520.865384615368</c:v>
                </c:pt>
                <c:pt idx="4">
                  <c:v>1800.052867132865</c:v>
                </c:pt>
                <c:pt idx="5">
                  <c:v>1763.8559999999991</c:v>
                </c:pt>
                <c:pt idx="6">
                  <c:v>2782.0303076923042</c:v>
                </c:pt>
              </c:numCache>
            </c:numRef>
          </c:val>
          <c:extLst>
            <c:ext xmlns:c16="http://schemas.microsoft.com/office/drawing/2014/chart" uri="{C3380CC4-5D6E-409C-BE32-E72D297353CC}">
              <c16:uniqueId val="{00000003-2B2A-486B-9101-619D3E05765B}"/>
            </c:ext>
          </c:extLst>
        </c:ser>
        <c:dLbls>
          <c:showLegendKey val="0"/>
          <c:showVal val="0"/>
          <c:showCatName val="0"/>
          <c:showSerName val="0"/>
          <c:showPercent val="0"/>
          <c:showBubbleSize val="0"/>
        </c:dLbls>
        <c:gapWidth val="219"/>
        <c:overlap val="-27"/>
        <c:axId val="1330975872"/>
        <c:axId val="1330997088"/>
      </c:barChart>
      <c:catAx>
        <c:axId val="133097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997088"/>
        <c:crosses val="autoZero"/>
        <c:auto val="1"/>
        <c:lblAlgn val="ctr"/>
        <c:lblOffset val="100"/>
        <c:noMultiLvlLbl val="0"/>
      </c:catAx>
      <c:valAx>
        <c:axId val="1330997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975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Energy Arbitrage 1MWh Battery Lifetime Revenue</a:t>
            </a:r>
            <a:r>
              <a:rPr lang="en-AU" baseline="0"/>
              <a:t> (VIC)</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'Energy arbitrage'!$B$3</c:f>
              <c:strCache>
                <c:ptCount val="1"/>
                <c:pt idx="0">
                  <c:v>Emissions reduction</c:v>
                </c:pt>
              </c:strCache>
            </c:strRef>
          </c:tx>
          <c:spPr>
            <a:solidFill>
              <a:schemeClr val="accent1"/>
            </a:solidFill>
            <a:ln>
              <a:noFill/>
            </a:ln>
            <a:effectLst/>
          </c:spPr>
          <c:invertIfNegative val="0"/>
          <c:cat>
            <c:numRef>
              <c:f>'Energy arbitrage'!$A$4:$A$12</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'Energy arbitrage'!$B$4:$B$12</c:f>
              <c:numCache>
                <c:formatCode>_-"$"* #,##0.00_-;\-"$"* #,##0.00_-;_-"$"* "-"??_-;_-@_-</c:formatCode>
                <c:ptCount val="9"/>
                <c:pt idx="0">
                  <c:v>-87208.13615625001</c:v>
                </c:pt>
                <c:pt idx="1">
                  <c:v>-85652.955454944997</c:v>
                </c:pt>
                <c:pt idx="2">
                  <c:v>-116681.89117499899</c:v>
                </c:pt>
                <c:pt idx="3">
                  <c:v>-168550.49690594201</c:v>
                </c:pt>
                <c:pt idx="4">
                  <c:v>-234941.842574999</c:v>
                </c:pt>
                <c:pt idx="5">
                  <c:v>-175205.00081906401</c:v>
                </c:pt>
                <c:pt idx="6">
                  <c:v>-155262.26628254901</c:v>
                </c:pt>
                <c:pt idx="7">
                  <c:v>-50466.429125609902</c:v>
                </c:pt>
                <c:pt idx="8">
                  <c:v>36721.427696334402</c:v>
                </c:pt>
              </c:numCache>
            </c:numRef>
          </c:val>
          <c:extLst>
            <c:ext xmlns:c16="http://schemas.microsoft.com/office/drawing/2014/chart" uri="{C3380CC4-5D6E-409C-BE32-E72D297353CC}">
              <c16:uniqueId val="{00000000-61B8-46E4-AB4F-3DB455E75476}"/>
            </c:ext>
          </c:extLst>
        </c:ser>
        <c:ser>
          <c:idx val="1"/>
          <c:order val="1"/>
          <c:tx>
            <c:strRef>
              <c:f>'Energy arbitrage'!$C$3</c:f>
              <c:strCache>
                <c:ptCount val="1"/>
                <c:pt idx="0">
                  <c:v>Solar soaking</c:v>
                </c:pt>
              </c:strCache>
            </c:strRef>
          </c:tx>
          <c:spPr>
            <a:solidFill>
              <a:schemeClr val="accent2"/>
            </a:solidFill>
            <a:ln>
              <a:noFill/>
            </a:ln>
            <a:effectLst/>
          </c:spPr>
          <c:invertIfNegative val="0"/>
          <c:cat>
            <c:numRef>
              <c:f>'Energy arbitrage'!$A$4:$A$12</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'Energy arbitrage'!$C$4:$C$12</c:f>
              <c:numCache>
                <c:formatCode>_-"$"* #,##0.00_-;\-"$"* #,##0.00_-;_-"$"* "-"??_-;_-@_-</c:formatCode>
                <c:ptCount val="9"/>
                <c:pt idx="0">
                  <c:v>-18976.424288118098</c:v>
                </c:pt>
                <c:pt idx="1">
                  <c:v>-11582.368739629101</c:v>
                </c:pt>
                <c:pt idx="2">
                  <c:v>-2880.9998999999798</c:v>
                </c:pt>
                <c:pt idx="3">
                  <c:v>65788.439110450796</c:v>
                </c:pt>
                <c:pt idx="4">
                  <c:v>-4613.8286714875194</c:v>
                </c:pt>
                <c:pt idx="5">
                  <c:v>95445.577578712109</c:v>
                </c:pt>
                <c:pt idx="6">
                  <c:v>178886.05638243101</c:v>
                </c:pt>
                <c:pt idx="7">
                  <c:v>152503.48560722402</c:v>
                </c:pt>
                <c:pt idx="8">
                  <c:v>335427.22158456297</c:v>
                </c:pt>
              </c:numCache>
            </c:numRef>
          </c:val>
          <c:extLst>
            <c:ext xmlns:c16="http://schemas.microsoft.com/office/drawing/2014/chart" uri="{C3380CC4-5D6E-409C-BE32-E72D297353CC}">
              <c16:uniqueId val="{00000001-61B8-46E4-AB4F-3DB455E75476}"/>
            </c:ext>
          </c:extLst>
        </c:ser>
        <c:ser>
          <c:idx val="2"/>
          <c:order val="2"/>
          <c:tx>
            <c:strRef>
              <c:f>'Energy arbitrage'!$D$3</c:f>
              <c:strCache>
                <c:ptCount val="1"/>
                <c:pt idx="0">
                  <c:v>Revenue maximisation</c:v>
                </c:pt>
              </c:strCache>
            </c:strRef>
          </c:tx>
          <c:spPr>
            <a:solidFill>
              <a:schemeClr val="accent3"/>
            </a:solidFill>
            <a:ln>
              <a:noFill/>
            </a:ln>
            <a:effectLst/>
          </c:spPr>
          <c:invertIfNegative val="0"/>
          <c:cat>
            <c:numRef>
              <c:f>'Energy arbitrage'!$A$4:$A$12</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'Energy arbitrage'!$D$4:$D$12</c:f>
              <c:numCache>
                <c:formatCode>_-"$"* #,##0.00_-;\-"$"* #,##0.00_-;_-"$"* "-"??_-;_-@_-</c:formatCode>
                <c:ptCount val="9"/>
                <c:pt idx="0">
                  <c:v>29355.030336881799</c:v>
                </c:pt>
                <c:pt idx="1">
                  <c:v>46289.721065315905</c:v>
                </c:pt>
                <c:pt idx="2">
                  <c:v>95923.083599999896</c:v>
                </c:pt>
                <c:pt idx="3">
                  <c:v>215256.65789323699</c:v>
                </c:pt>
                <c:pt idx="4">
                  <c:v>172158.181828512</c:v>
                </c:pt>
                <c:pt idx="5">
                  <c:v>219489.01821878701</c:v>
                </c:pt>
                <c:pt idx="6">
                  <c:v>274467.33246560098</c:v>
                </c:pt>
                <c:pt idx="7">
                  <c:v>176368.03960502899</c:v>
                </c:pt>
                <c:pt idx="8">
                  <c:v>275674.63629323599</c:v>
                </c:pt>
              </c:numCache>
            </c:numRef>
          </c:val>
          <c:extLst>
            <c:ext xmlns:c16="http://schemas.microsoft.com/office/drawing/2014/chart" uri="{C3380CC4-5D6E-409C-BE32-E72D297353CC}">
              <c16:uniqueId val="{00000002-61B8-46E4-AB4F-3DB455E75476}"/>
            </c:ext>
          </c:extLst>
        </c:ser>
        <c:ser>
          <c:idx val="3"/>
          <c:order val="3"/>
          <c:tx>
            <c:strRef>
              <c:f>'Energy arbitrage'!$E$3</c:f>
              <c:strCache>
                <c:ptCount val="1"/>
                <c:pt idx="0">
                  <c:v>Peak demand management</c:v>
                </c:pt>
              </c:strCache>
            </c:strRef>
          </c:tx>
          <c:spPr>
            <a:solidFill>
              <a:schemeClr val="accent4"/>
            </a:solidFill>
            <a:ln>
              <a:noFill/>
            </a:ln>
            <a:effectLst/>
          </c:spPr>
          <c:invertIfNegative val="0"/>
          <c:cat>
            <c:numRef>
              <c:f>'Energy arbitrage'!$A$4:$A$12</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'Energy arbitrage'!$E$4:$E$12</c:f>
              <c:numCache>
                <c:formatCode>_-"$"* #,##0.00_-;\-"$"* #,##0.00_-;_-"$"* "-"??_-;_-@_-</c:formatCode>
                <c:ptCount val="9"/>
                <c:pt idx="0">
                  <c:v>-3714.5736565590701</c:v>
                </c:pt>
                <c:pt idx="1">
                  <c:v>9919.3214926854307</c:v>
                </c:pt>
                <c:pt idx="2">
                  <c:v>36132.867787499999</c:v>
                </c:pt>
                <c:pt idx="3">
                  <c:v>122661.34789333999</c:v>
                </c:pt>
                <c:pt idx="4">
                  <c:v>67580.371664256207</c:v>
                </c:pt>
                <c:pt idx="5">
                  <c:v>125243.08841052699</c:v>
                </c:pt>
                <c:pt idx="6">
                  <c:v>163032.57767942199</c:v>
                </c:pt>
                <c:pt idx="7">
                  <c:v>112120.145519329</c:v>
                </c:pt>
                <c:pt idx="8">
                  <c:v>230489.93088218599</c:v>
                </c:pt>
              </c:numCache>
            </c:numRef>
          </c:val>
          <c:extLst>
            <c:ext xmlns:c16="http://schemas.microsoft.com/office/drawing/2014/chart" uri="{C3380CC4-5D6E-409C-BE32-E72D297353CC}">
              <c16:uniqueId val="{00000003-61B8-46E4-AB4F-3DB455E75476}"/>
            </c:ext>
          </c:extLst>
        </c:ser>
        <c:dLbls>
          <c:showLegendKey val="0"/>
          <c:showVal val="0"/>
          <c:showCatName val="0"/>
          <c:showSerName val="0"/>
          <c:showPercent val="0"/>
          <c:showBubbleSize val="0"/>
        </c:dLbls>
        <c:gapWidth val="219"/>
        <c:overlap val="-27"/>
        <c:axId val="1625932960"/>
        <c:axId val="1625933376"/>
      </c:barChart>
      <c:catAx>
        <c:axId val="162593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5933376"/>
        <c:crosses val="autoZero"/>
        <c:auto val="1"/>
        <c:lblAlgn val="ctr"/>
        <c:lblOffset val="100"/>
        <c:noMultiLvlLbl val="0"/>
      </c:catAx>
      <c:valAx>
        <c:axId val="16259333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5932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FCAS Revenue per 1MW- Imperfect foresight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FCAS!$A$11</c:f>
              <c:strCache>
                <c:ptCount val="1"/>
                <c:pt idx="0">
                  <c:v>NSW</c:v>
                </c:pt>
              </c:strCache>
            </c:strRef>
          </c:tx>
          <c:spPr>
            <a:solidFill>
              <a:schemeClr val="accent1"/>
            </a:solidFill>
            <a:ln>
              <a:noFill/>
            </a:ln>
            <a:effectLst/>
          </c:spPr>
          <c:invertIfNegative val="0"/>
          <c:cat>
            <c:numRef>
              <c:f>FCAS!$B$10:$I$10</c:f>
              <c:numCache>
                <c:formatCode>General</c:formatCode>
                <c:ptCount val="8"/>
                <c:pt idx="0">
                  <c:v>2013</c:v>
                </c:pt>
                <c:pt idx="1">
                  <c:v>2014</c:v>
                </c:pt>
                <c:pt idx="2">
                  <c:v>2015</c:v>
                </c:pt>
                <c:pt idx="3">
                  <c:v>2016</c:v>
                </c:pt>
                <c:pt idx="4">
                  <c:v>2017</c:v>
                </c:pt>
                <c:pt idx="5">
                  <c:v>2018</c:v>
                </c:pt>
                <c:pt idx="6">
                  <c:v>2019</c:v>
                </c:pt>
                <c:pt idx="7">
                  <c:v>2020</c:v>
                </c:pt>
              </c:numCache>
            </c:numRef>
          </c:cat>
          <c:val>
            <c:numRef>
              <c:f>FCAS!$B$11:$I$11</c:f>
              <c:numCache>
                <c:formatCode>_-"$"* #,##0.00_-;\-"$"* #,##0.00_-;_-"$"* "-"??_-;_-@_-</c:formatCode>
                <c:ptCount val="8"/>
                <c:pt idx="0">
                  <c:v>21785</c:v>
                </c:pt>
                <c:pt idx="1">
                  <c:v>33965.5</c:v>
                </c:pt>
                <c:pt idx="2">
                  <c:v>31539.5</c:v>
                </c:pt>
                <c:pt idx="3">
                  <c:v>136981</c:v>
                </c:pt>
                <c:pt idx="4">
                  <c:v>353947</c:v>
                </c:pt>
                <c:pt idx="5">
                  <c:v>303372.5</c:v>
                </c:pt>
                <c:pt idx="6">
                  <c:v>327809.5</c:v>
                </c:pt>
                <c:pt idx="7">
                  <c:v>306171.5</c:v>
                </c:pt>
              </c:numCache>
            </c:numRef>
          </c:val>
          <c:extLst>
            <c:ext xmlns:c16="http://schemas.microsoft.com/office/drawing/2014/chart" uri="{C3380CC4-5D6E-409C-BE32-E72D297353CC}">
              <c16:uniqueId val="{00000000-37F3-4C49-8D38-D2E5A00B9074}"/>
            </c:ext>
          </c:extLst>
        </c:ser>
        <c:ser>
          <c:idx val="1"/>
          <c:order val="1"/>
          <c:tx>
            <c:strRef>
              <c:f>FCAS!$A$12</c:f>
              <c:strCache>
                <c:ptCount val="1"/>
                <c:pt idx="0">
                  <c:v>QLD</c:v>
                </c:pt>
              </c:strCache>
            </c:strRef>
          </c:tx>
          <c:spPr>
            <a:solidFill>
              <a:schemeClr val="accent2"/>
            </a:solidFill>
            <a:ln>
              <a:noFill/>
            </a:ln>
            <a:effectLst/>
          </c:spPr>
          <c:invertIfNegative val="0"/>
          <c:cat>
            <c:numRef>
              <c:f>FCAS!$B$10:$I$10</c:f>
              <c:numCache>
                <c:formatCode>General</c:formatCode>
                <c:ptCount val="8"/>
                <c:pt idx="0">
                  <c:v>2013</c:v>
                </c:pt>
                <c:pt idx="1">
                  <c:v>2014</c:v>
                </c:pt>
                <c:pt idx="2">
                  <c:v>2015</c:v>
                </c:pt>
                <c:pt idx="3">
                  <c:v>2016</c:v>
                </c:pt>
                <c:pt idx="4">
                  <c:v>2017</c:v>
                </c:pt>
                <c:pt idx="5">
                  <c:v>2018</c:v>
                </c:pt>
                <c:pt idx="6">
                  <c:v>2019</c:v>
                </c:pt>
                <c:pt idx="7">
                  <c:v>2020</c:v>
                </c:pt>
              </c:numCache>
            </c:numRef>
          </c:cat>
          <c:val>
            <c:numRef>
              <c:f>FCAS!$B$12:$I$12</c:f>
              <c:numCache>
                <c:formatCode>_-"$"* #,##0.00_-;\-"$"* #,##0.00_-;_-"$"* "-"??_-;_-@_-</c:formatCode>
                <c:ptCount val="8"/>
                <c:pt idx="0">
                  <c:v>24040.5</c:v>
                </c:pt>
                <c:pt idx="1">
                  <c:v>42036.5</c:v>
                </c:pt>
                <c:pt idx="2">
                  <c:v>37452.5</c:v>
                </c:pt>
                <c:pt idx="3">
                  <c:v>138991.5</c:v>
                </c:pt>
                <c:pt idx="4">
                  <c:v>363434</c:v>
                </c:pt>
                <c:pt idx="5">
                  <c:v>386949.5</c:v>
                </c:pt>
                <c:pt idx="6">
                  <c:v>334589.5</c:v>
                </c:pt>
                <c:pt idx="7">
                  <c:v>316698.5</c:v>
                </c:pt>
              </c:numCache>
            </c:numRef>
          </c:val>
          <c:extLst>
            <c:ext xmlns:c16="http://schemas.microsoft.com/office/drawing/2014/chart" uri="{C3380CC4-5D6E-409C-BE32-E72D297353CC}">
              <c16:uniqueId val="{00000001-37F3-4C49-8D38-D2E5A00B9074}"/>
            </c:ext>
          </c:extLst>
        </c:ser>
        <c:ser>
          <c:idx val="2"/>
          <c:order val="2"/>
          <c:tx>
            <c:strRef>
              <c:f>FCAS!$A$13</c:f>
              <c:strCache>
                <c:ptCount val="1"/>
                <c:pt idx="0">
                  <c:v>SA</c:v>
                </c:pt>
              </c:strCache>
            </c:strRef>
          </c:tx>
          <c:spPr>
            <a:solidFill>
              <a:schemeClr val="accent3"/>
            </a:solidFill>
            <a:ln>
              <a:noFill/>
            </a:ln>
            <a:effectLst/>
          </c:spPr>
          <c:invertIfNegative val="0"/>
          <c:cat>
            <c:numRef>
              <c:f>FCAS!$B$10:$I$10</c:f>
              <c:numCache>
                <c:formatCode>General</c:formatCode>
                <c:ptCount val="8"/>
                <c:pt idx="0">
                  <c:v>2013</c:v>
                </c:pt>
                <c:pt idx="1">
                  <c:v>2014</c:v>
                </c:pt>
                <c:pt idx="2">
                  <c:v>2015</c:v>
                </c:pt>
                <c:pt idx="3">
                  <c:v>2016</c:v>
                </c:pt>
                <c:pt idx="4">
                  <c:v>2017</c:v>
                </c:pt>
                <c:pt idx="5">
                  <c:v>2018</c:v>
                </c:pt>
                <c:pt idx="6">
                  <c:v>2019</c:v>
                </c:pt>
                <c:pt idx="7">
                  <c:v>2020</c:v>
                </c:pt>
              </c:numCache>
            </c:numRef>
          </c:cat>
          <c:val>
            <c:numRef>
              <c:f>FCAS!$B$13:$I$13</c:f>
              <c:numCache>
                <c:formatCode>_-"$"* #,##0.00_-;\-"$"* #,##0.00_-;_-"$"* "-"??_-;_-@_-</c:formatCode>
                <c:ptCount val="8"/>
                <c:pt idx="0">
                  <c:v>47746</c:v>
                </c:pt>
                <c:pt idx="1">
                  <c:v>38784.5</c:v>
                </c:pt>
                <c:pt idx="2">
                  <c:v>449421.5</c:v>
                </c:pt>
                <c:pt idx="3">
                  <c:v>837860</c:v>
                </c:pt>
                <c:pt idx="4">
                  <c:v>910610</c:v>
                </c:pt>
                <c:pt idx="5">
                  <c:v>342536</c:v>
                </c:pt>
                <c:pt idx="6">
                  <c:v>412484.5</c:v>
                </c:pt>
                <c:pt idx="7">
                  <c:v>701293.5</c:v>
                </c:pt>
              </c:numCache>
            </c:numRef>
          </c:val>
          <c:extLst>
            <c:ext xmlns:c16="http://schemas.microsoft.com/office/drawing/2014/chart" uri="{C3380CC4-5D6E-409C-BE32-E72D297353CC}">
              <c16:uniqueId val="{00000002-37F3-4C49-8D38-D2E5A00B9074}"/>
            </c:ext>
          </c:extLst>
        </c:ser>
        <c:ser>
          <c:idx val="3"/>
          <c:order val="3"/>
          <c:tx>
            <c:strRef>
              <c:f>FCAS!$A$14</c:f>
              <c:strCache>
                <c:ptCount val="1"/>
                <c:pt idx="0">
                  <c:v>VIC</c:v>
                </c:pt>
              </c:strCache>
            </c:strRef>
          </c:tx>
          <c:spPr>
            <a:solidFill>
              <a:schemeClr val="accent4"/>
            </a:solidFill>
            <a:ln>
              <a:noFill/>
            </a:ln>
            <a:effectLst/>
          </c:spPr>
          <c:invertIfNegative val="0"/>
          <c:cat>
            <c:numRef>
              <c:f>FCAS!$B$10:$I$10</c:f>
              <c:numCache>
                <c:formatCode>General</c:formatCode>
                <c:ptCount val="8"/>
                <c:pt idx="0">
                  <c:v>2013</c:v>
                </c:pt>
                <c:pt idx="1">
                  <c:v>2014</c:v>
                </c:pt>
                <c:pt idx="2">
                  <c:v>2015</c:v>
                </c:pt>
                <c:pt idx="3">
                  <c:v>2016</c:v>
                </c:pt>
                <c:pt idx="4">
                  <c:v>2017</c:v>
                </c:pt>
                <c:pt idx="5">
                  <c:v>2018</c:v>
                </c:pt>
                <c:pt idx="6">
                  <c:v>2019</c:v>
                </c:pt>
                <c:pt idx="7">
                  <c:v>2020</c:v>
                </c:pt>
              </c:numCache>
            </c:numRef>
          </c:cat>
          <c:val>
            <c:numRef>
              <c:f>FCAS!$B$14:$I$14</c:f>
              <c:numCache>
                <c:formatCode>_-"$"* #,##0.00_-;\-"$"* #,##0.00_-;_-"$"* "-"??_-;_-@_-</c:formatCode>
                <c:ptCount val="8"/>
                <c:pt idx="0">
                  <c:v>21785</c:v>
                </c:pt>
                <c:pt idx="1">
                  <c:v>33965.5</c:v>
                </c:pt>
                <c:pt idx="2">
                  <c:v>31539.5</c:v>
                </c:pt>
                <c:pt idx="3">
                  <c:v>136981</c:v>
                </c:pt>
                <c:pt idx="4">
                  <c:v>353947</c:v>
                </c:pt>
                <c:pt idx="5">
                  <c:v>303372.5</c:v>
                </c:pt>
                <c:pt idx="6">
                  <c:v>326082.5</c:v>
                </c:pt>
                <c:pt idx="7">
                  <c:v>263116</c:v>
                </c:pt>
              </c:numCache>
            </c:numRef>
          </c:val>
          <c:extLst>
            <c:ext xmlns:c16="http://schemas.microsoft.com/office/drawing/2014/chart" uri="{C3380CC4-5D6E-409C-BE32-E72D297353CC}">
              <c16:uniqueId val="{00000003-37F3-4C49-8D38-D2E5A00B9074}"/>
            </c:ext>
          </c:extLst>
        </c:ser>
        <c:dLbls>
          <c:showLegendKey val="0"/>
          <c:showVal val="0"/>
          <c:showCatName val="0"/>
          <c:showSerName val="0"/>
          <c:showPercent val="0"/>
          <c:showBubbleSize val="0"/>
        </c:dLbls>
        <c:gapWidth val="219"/>
        <c:overlap val="-27"/>
        <c:axId val="1617857424"/>
        <c:axId val="1617855760"/>
      </c:barChart>
      <c:catAx>
        <c:axId val="161785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7855760"/>
        <c:crosses val="autoZero"/>
        <c:auto val="1"/>
        <c:lblAlgn val="ctr"/>
        <c:lblOffset val="100"/>
        <c:noMultiLvlLbl val="0"/>
      </c:catAx>
      <c:valAx>
        <c:axId val="16178557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quot;$&quot;* #,##0.00_-;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7857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19050</xdr:colOff>
      <xdr:row>3</xdr:row>
      <xdr:rowOff>66675</xdr:rowOff>
    </xdr:from>
    <xdr:to>
      <xdr:col>11</xdr:col>
      <xdr:colOff>409574</xdr:colOff>
      <xdr:row>20</xdr:row>
      <xdr:rowOff>76200</xdr:rowOff>
    </xdr:to>
    <xdr:graphicFrame macro="">
      <xdr:nvGraphicFramePr>
        <xdr:cNvPr id="2" name="Chart 1">
          <a:extLst>
            <a:ext uri="{FF2B5EF4-FFF2-40B4-BE49-F238E27FC236}">
              <a16:creationId xmlns:a16="http://schemas.microsoft.com/office/drawing/2014/main" id="{C287F507-ADB6-5C97-0717-3EEBE79FF6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530225</xdr:colOff>
      <xdr:row>3</xdr:row>
      <xdr:rowOff>53975</xdr:rowOff>
    </xdr:from>
    <xdr:to>
      <xdr:col>17</xdr:col>
      <xdr:colOff>206375</xdr:colOff>
      <xdr:row>20</xdr:row>
      <xdr:rowOff>77786</xdr:rowOff>
    </xdr:to>
    <xdr:graphicFrame macro="">
      <xdr:nvGraphicFramePr>
        <xdr:cNvPr id="3" name="Chart 2">
          <a:extLst>
            <a:ext uri="{FF2B5EF4-FFF2-40B4-BE49-F238E27FC236}">
              <a16:creationId xmlns:a16="http://schemas.microsoft.com/office/drawing/2014/main" id="{9C846307-045A-D9AF-8DBB-9F81054D22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354011</xdr:colOff>
      <xdr:row>2</xdr:row>
      <xdr:rowOff>152400</xdr:rowOff>
    </xdr:from>
    <xdr:to>
      <xdr:col>16</xdr:col>
      <xdr:colOff>371475</xdr:colOff>
      <xdr:row>24</xdr:row>
      <xdr:rowOff>15875</xdr:rowOff>
    </xdr:to>
    <xdr:graphicFrame macro="">
      <xdr:nvGraphicFramePr>
        <xdr:cNvPr id="4" name="Chart 3">
          <a:extLst>
            <a:ext uri="{FF2B5EF4-FFF2-40B4-BE49-F238E27FC236}">
              <a16:creationId xmlns:a16="http://schemas.microsoft.com/office/drawing/2014/main" id="{03A6D77C-A346-D89E-7E6E-BEAAA6271B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16</xdr:row>
      <xdr:rowOff>49211</xdr:rowOff>
    </xdr:from>
    <xdr:to>
      <xdr:col>7</xdr:col>
      <xdr:colOff>809625</xdr:colOff>
      <xdr:row>35</xdr:row>
      <xdr:rowOff>57149</xdr:rowOff>
    </xdr:to>
    <xdr:graphicFrame macro="">
      <xdr:nvGraphicFramePr>
        <xdr:cNvPr id="2" name="Chart 1">
          <a:extLst>
            <a:ext uri="{FF2B5EF4-FFF2-40B4-BE49-F238E27FC236}">
              <a16:creationId xmlns:a16="http://schemas.microsoft.com/office/drawing/2014/main" id="{84954C18-23FD-D43A-96F5-8DE8B7DCB0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Louise Bardwell" id="{CB6D07BE-6992-4CD1-B52F-51D88541108D}" userId="Louise Bardwell" providerId="None"/>
  <person displayName="Louise Bardwell" id="{940C739C-9E08-49E2-882A-5FD14FF23062}" userId="681017783cbefe6c" providerId="Windows Live"/>
  <person displayName="Louise Bardwell" id="{2961B905-FB11-4AF3-916C-0A183D61BA1A}" userId="S::u6077046@anu.edu.au::348b6c94-cf1e-454b-b2ec-7d2dd59fe3c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3" dT="2022-10-24T00:14:19.19" personId="{CB6D07BE-6992-4CD1-B52F-51D88541108D}" id="{F7553E01-803B-4B2D-BCFF-C3D1AD7C8967}">
    <text>C-rate is a measure for the speed at which the battery charges. So a 1 C-rate means the battery fully charges within one hour</text>
  </threadedComment>
  <threadedComment ref="C17" dT="2022-05-02T06:02:10.67" personId="{940C739C-9E08-49E2-882A-5FD14FF23062}" id="{DC403087-1E49-4EDE-AD25-C19AD0ED0BD6}">
    <text>The standard discount rate used for cost benefit analyses is 12%. A more conservative discount rate would be x%.</text>
  </threadedComment>
</ThreadedComments>
</file>

<file path=xl/threadedComments/threadedComment2.xml><?xml version="1.0" encoding="utf-8"?>
<ThreadedComments xmlns="http://schemas.microsoft.com/office/spreadsheetml/2018/threadedcomments" xmlns:x="http://schemas.openxmlformats.org/spreadsheetml/2006/main">
  <threadedComment ref="A10" dT="2022-09-13T00:20:51.17" personId="{CB6D07BE-6992-4CD1-B52F-51D88541108D}" id="{BA401A7D-7B69-4FAC-91DB-D9CA660B9591}">
    <text xml:space="preserve">Costs associated with conducting feasibility study of project (if externally contracted), including community engagement and surveys </text>
  </threadedComment>
  <threadedComment ref="D12" dT="2022-11-07T01:02:59.60" personId="{2961B905-FB11-4AF3-916C-0A183D61BA1A}" id="{B144C31D-B75F-47B0-AB60-9E3D3E1CD0FE}">
    <text>For C4NET</text>
  </threadedComment>
  <threadedComment ref="A13" dT="2022-09-13T00:36:52.44" personId="{CB6D07BE-6992-4CD1-B52F-51D88541108D}" id="{CC6ACD62-A625-4FDC-AF6C-EA44719F4E38}">
    <text>Pre-installation: 1.5 full time equivalent (FTE) for first year</text>
  </threadedComment>
  <threadedComment ref="A14" dT="2022-09-13T00:21:31.25" personId="{CB6D07BE-6992-4CD1-B52F-51D88541108D}" id="{20756AC3-F7BD-468D-8C85-3CE0CA01521A}">
    <text>Consultant payout costs for energy, social legal, and/or insurance experts</text>
  </threadedComment>
  <threadedComment ref="A15" dT="2022-09-13T00:21:50.11" personId="{CB6D07BE-6992-4CD1-B52F-51D88541108D}" id="{3DCA1CE5-95B2-4A93-9DBA-4CC7BD931E5F}">
    <text>Costs associated with engineering design of battery, the battery site, and its grid connection</text>
  </threadedComment>
  <threadedComment ref="A16" dT="2022-09-13T00:22:11.23" personId="{CB6D07BE-6992-4CD1-B52F-51D88541108D}" id="{847B88C9-889E-4285-876D-6C93235CE9D7}">
    <text xml:space="preserve">Includes Li-ion modules and the battery’s power equipment (inverters and switch gear). Battery costs will vary depending on the battery technology selection </text>
  </threadedComment>
  <threadedComment ref="A17" dT="2022-09-13T00:22:18.15" personId="{CB6D07BE-6992-4CD1-B52F-51D88541108D}" id="{9883B92F-B2F0-45F0-B7B4-334E25CA6284}">
    <text>Includes caging, hoarding, fencing etc. that may be required</text>
  </threadedComment>
  <threadedComment ref="A18" dT="2022-09-13T00:22:30.78" personId="{CB6D07BE-6992-4CD1-B52F-51D88541108D}" id="{9782D776-B29B-45E9-8577-E5C395F79F06}">
    <text>Costs and equipment needed for connecting battery to the grid, including transformers, busbars, safety, mechanisms, cabling etc., including installation.</text>
  </threadedComment>
  <threadedComment ref="A19" dT="2022-09-13T00:25:34.38" personId="{CB6D07BE-6992-4CD1-B52F-51D88541108D}" id="{418426B2-FC62-4911-92D8-29616165BC7B}">
    <text>Applicable in some cases, necessary to allow additional point of supply</text>
  </threadedComment>
  <threadedComment ref="A20" dT="2022-09-13T00:26:00.14" personId="{CB6D07BE-6992-4CD1-B52F-51D88541108D}" id="{FD51C7E4-6B4E-4F1B-87A1-6B990F02CC58}">
    <text>Type 4 meter (smart meter), price will vary depending on distributor</text>
  </threadedComment>
  <threadedComment ref="A21" dT="2022-09-13T00:26:11.65" personId="{CB6D07BE-6992-4CD1-B52F-51D88541108D}" id="{1B6AF315-2941-4C1A-8774-6FE1523B9E29}">
    <text>Includes any upfront hardware and software costs needed for battery’s digital management (non-recurring)</text>
  </threadedComment>
  <threadedComment ref="A22" dT="2022-09-13T00:26:49.42" personId="{CB6D07BE-6992-4CD1-B52F-51D88541108D}" id="{204E7196-02C9-4922-B19E-6FBF4ED90E07}">
    <text>Costs associated with site preparation, construction and installation, and any non-recurring land costs</text>
  </threadedComment>
  <threadedComment ref="A23" dT="2022-09-13T00:26:38.91" personId="{CB6D07BE-6992-4CD1-B52F-51D88541108D}" id="{CC9C46EB-B3D5-4E6C-A326-8B35B88AA7B8}">
    <text>Includes contracts and planning (non-recurring)</text>
  </threadedComment>
  <threadedComment ref="A26" dT="2022-09-13T00:27:20.13" personId="{CB6D07BE-6992-4CD1-B52F-51D88541108D}" id="{20B6ACC7-D171-4185-94EF-43E28B5BEC52}">
    <text>Cost for procuring an artwork to design the exterior housing of the neighbourhood battery (as was done for YEF battery), or for other landscaping and/or tree planting around the battery</text>
  </threadedComment>
  <threadedComment ref="A36" dT="2022-09-13T00:38:20.76" personId="{CB6D07BE-6992-4CD1-B52F-51D88541108D}" id="{DB332ACE-2774-4599-A2F5-3176725841B0}">
    <text>Ongoing project management salary, 0.3 FTE</text>
  </threadedComment>
  <threadedComment ref="A37" dT="2022-09-13T00:27:39.15" personId="{CB6D07BE-6992-4CD1-B52F-51D88541108D}" id="{8572842C-424B-4F60-9035-A007583CADDA}">
    <text xml:space="preserve">Includes day-to-day costs of running battery’s IT services. </text>
  </threadedComment>
  <threadedComment ref="A39" dT="2022-09-13T00:13:09.46" personId="{CB6D07BE-6992-4CD1-B52F-51D88541108D}" id="{65C36227-DE5E-4662-AA33-778C7D942E02}">
    <text>Software licences can be either commercial or open source. In the commercial case, annual license costs will apply. In the open source case, such as use of c3x, there are no annual license fee costs associated. In the open source case, this value would therefore be zero.</text>
  </threadedComment>
  <threadedComment ref="A40" dT="2022-09-13T00:12:56.59" personId="{CB6D07BE-6992-4CD1-B52F-51D88541108D}" id="{4435C27B-BBD9-4162-9363-3AA47EA3476D}">
    <text>This will be dependent on your battery manufacturer, and typically range from $500 to $1,500 per annum, with some associated with more deluxe battery models in excess of $2,000.</text>
  </threadedComment>
  <threadedComment ref="A41" dT="2022-09-13T00:14:40.91" personId="{CB6D07BE-6992-4CD1-B52F-51D88541108D}" id="{88F4B967-5DF3-4FCF-BC55-BDDD64AB26FD}">
    <text>Charges associated with charging/discharging battery. Will depend on the DNSP and what (if any) community battery tariff they offer. In this case, the Citipower, Powercor and United Energy tariff (which actually pays the battery in particular periods) has been used.</text>
  </threadedComment>
  <threadedComment ref="A45" dT="2022-09-13T00:27:59.33" personId="{CB6D07BE-6992-4CD1-B52F-51D88541108D}" id="{C5C724F0-5930-4FA0-859B-AB181F7018AB}">
    <text>Costs associated with maintaining projects’ marketing and communication, such as project website, social media pages, dashboards etc.</text>
  </threadedComment>
  <threadedComment ref="A46" dT="2022-09-13T00:28:07.67" personId="{CB6D07BE-6992-4CD1-B52F-51D88541108D}" id="{21E8671B-6462-4CF9-92D2-8E1C41B49685}">
    <text>Ongoing costs for conducting surveys, information sessions, outreach to the community etc. to maintain engagement with the project</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456A2-4D78-4C12-B56F-6D9175601C87}">
  <dimension ref="A1:Q40"/>
  <sheetViews>
    <sheetView workbookViewId="0">
      <selection activeCell="H14" sqref="H14"/>
    </sheetView>
  </sheetViews>
  <sheetFormatPr defaultRowHeight="14.45"/>
  <cols>
    <col min="1" max="1" width="28.85546875" customWidth="1"/>
    <col min="2" max="2" width="14.28515625" customWidth="1"/>
    <col min="3" max="3" width="13" customWidth="1"/>
    <col min="4" max="4" width="10.140625" bestFit="1" customWidth="1"/>
    <col min="5" max="5" width="17.85546875" customWidth="1"/>
    <col min="6" max="12" width="10.140625" bestFit="1" customWidth="1"/>
    <col min="13" max="17" width="11.140625" bestFit="1" customWidth="1"/>
  </cols>
  <sheetData>
    <row r="1" spans="1:15" s="17" customFormat="1" ht="21">
      <c r="A1" s="19" t="s">
        <v>0</v>
      </c>
    </row>
    <row r="2" spans="1:15" ht="15" thickBot="1">
      <c r="A2" s="51" t="s">
        <v>1</v>
      </c>
      <c r="B2" s="50"/>
      <c r="C2" s="50"/>
    </row>
    <row r="3" spans="1:15">
      <c r="A3" s="1"/>
      <c r="B3" s="48" t="s">
        <v>2</v>
      </c>
      <c r="C3" s="49" t="s">
        <v>3</v>
      </c>
      <c r="E3" s="80" t="s">
        <v>4</v>
      </c>
      <c r="F3" s="81"/>
      <c r="G3" s="81"/>
      <c r="H3" s="81"/>
      <c r="I3" s="81"/>
      <c r="J3" s="81"/>
      <c r="K3" s="81"/>
      <c r="L3" s="81"/>
      <c r="M3" s="81"/>
      <c r="N3" s="81"/>
      <c r="O3" s="82"/>
    </row>
    <row r="4" spans="1:15">
      <c r="A4" s="35" t="s">
        <v>5</v>
      </c>
      <c r="B4" s="50"/>
      <c r="C4" s="36" t="s">
        <v>6</v>
      </c>
      <c r="E4" s="83" t="s">
        <v>7</v>
      </c>
      <c r="F4">
        <v>1</v>
      </c>
      <c r="G4">
        <f t="shared" ref="G4:O4" si="0">F4+1</f>
        <v>2</v>
      </c>
      <c r="H4">
        <f t="shared" si="0"/>
        <v>3</v>
      </c>
      <c r="I4">
        <f t="shared" si="0"/>
        <v>4</v>
      </c>
      <c r="J4">
        <f t="shared" si="0"/>
        <v>5</v>
      </c>
      <c r="K4">
        <f t="shared" si="0"/>
        <v>6</v>
      </c>
      <c r="L4">
        <f t="shared" si="0"/>
        <v>7</v>
      </c>
      <c r="M4">
        <f t="shared" si="0"/>
        <v>8</v>
      </c>
      <c r="N4">
        <f t="shared" si="0"/>
        <v>9</v>
      </c>
      <c r="O4" s="84">
        <f t="shared" si="0"/>
        <v>10</v>
      </c>
    </row>
    <row r="5" spans="1:15">
      <c r="A5" s="35" t="s">
        <v>8</v>
      </c>
      <c r="B5" s="50" t="s">
        <v>9</v>
      </c>
      <c r="C5" s="60">
        <v>100</v>
      </c>
      <c r="E5" s="83" t="s">
        <v>10</v>
      </c>
      <c r="F5" s="85">
        <v>1</v>
      </c>
      <c r="G5" s="85">
        <f t="shared" ref="G5:O5" si="1">F5-(20/9)%</f>
        <v>0.97777777777777775</v>
      </c>
      <c r="H5" s="85">
        <f t="shared" si="1"/>
        <v>0.95555555555555549</v>
      </c>
      <c r="I5" s="85">
        <f t="shared" si="1"/>
        <v>0.93333333333333324</v>
      </c>
      <c r="J5" s="85">
        <f t="shared" si="1"/>
        <v>0.91111111111111098</v>
      </c>
      <c r="K5" s="85">
        <f t="shared" si="1"/>
        <v>0.88888888888888873</v>
      </c>
      <c r="L5" s="85">
        <f t="shared" si="1"/>
        <v>0.86666666666666647</v>
      </c>
      <c r="M5" s="85">
        <f t="shared" si="1"/>
        <v>0.84444444444444422</v>
      </c>
      <c r="N5" s="85">
        <f t="shared" si="1"/>
        <v>0.82222222222222197</v>
      </c>
      <c r="O5" s="86">
        <f t="shared" si="1"/>
        <v>0.79999999999999971</v>
      </c>
    </row>
    <row r="6" spans="1:15">
      <c r="A6" s="35" t="s">
        <v>8</v>
      </c>
      <c r="B6" s="50" t="s">
        <v>11</v>
      </c>
      <c r="C6" s="60">
        <v>200</v>
      </c>
      <c r="E6" s="87" t="s">
        <v>12</v>
      </c>
      <c r="F6" s="88">
        <f>SUM(F5:O5)/10</f>
        <v>0.8999999999999998</v>
      </c>
      <c r="G6" s="34"/>
      <c r="H6" s="34"/>
      <c r="I6" s="34"/>
      <c r="J6" s="34"/>
      <c r="K6" s="34"/>
      <c r="L6" s="34"/>
      <c r="M6" s="34"/>
      <c r="N6" s="34"/>
      <c r="O6" s="89"/>
    </row>
    <row r="7" spans="1:15">
      <c r="A7" s="35" t="s">
        <v>13</v>
      </c>
      <c r="B7" s="50" t="s">
        <v>14</v>
      </c>
      <c r="C7" s="60">
        <v>10</v>
      </c>
    </row>
    <row r="8" spans="1:15">
      <c r="A8" s="35" t="s">
        <v>15</v>
      </c>
      <c r="B8" s="50" t="s">
        <v>16</v>
      </c>
      <c r="C8" s="37">
        <f>NPV!F6</f>
        <v>0.8999999999999998</v>
      </c>
      <c r="E8" s="10"/>
      <c r="F8" t="s">
        <v>17</v>
      </c>
    </row>
    <row r="9" spans="1:15">
      <c r="A9" s="35" t="s">
        <v>18</v>
      </c>
      <c r="B9" s="50" t="s">
        <v>16</v>
      </c>
      <c r="C9" s="37">
        <v>0.8</v>
      </c>
    </row>
    <row r="10" spans="1:15">
      <c r="A10" s="35" t="s">
        <v>19</v>
      </c>
      <c r="B10" s="50" t="s">
        <v>16</v>
      </c>
      <c r="C10" s="37">
        <f>F6</f>
        <v>0.8999999999999998</v>
      </c>
    </row>
    <row r="11" spans="1:15">
      <c r="A11" s="35" t="s">
        <v>20</v>
      </c>
      <c r="B11" s="50" t="s">
        <v>16</v>
      </c>
      <c r="C11" s="38">
        <v>0.85</v>
      </c>
    </row>
    <row r="12" spans="1:15">
      <c r="A12" s="35" t="s">
        <v>21</v>
      </c>
      <c r="B12" s="50" t="s">
        <v>16</v>
      </c>
      <c r="C12" s="38">
        <v>0.9</v>
      </c>
    </row>
    <row r="13" spans="1:15">
      <c r="A13" s="39" t="s">
        <v>22</v>
      </c>
      <c r="B13" s="40"/>
      <c r="C13" s="41">
        <v>0.5</v>
      </c>
    </row>
    <row r="15" spans="1:15">
      <c r="A15" s="51" t="s">
        <v>23</v>
      </c>
    </row>
    <row r="16" spans="1:15">
      <c r="A16" s="1"/>
      <c r="B16" s="48" t="s">
        <v>2</v>
      </c>
      <c r="C16" s="49" t="s">
        <v>3</v>
      </c>
    </row>
    <row r="17" spans="1:17">
      <c r="A17" s="39" t="s">
        <v>24</v>
      </c>
      <c r="B17" s="40" t="s">
        <v>16</v>
      </c>
      <c r="C17" s="79">
        <v>0.12</v>
      </c>
    </row>
    <row r="18" spans="1:17">
      <c r="A18" s="50"/>
    </row>
    <row r="19" spans="1:17">
      <c r="A19" s="51" t="s">
        <v>25</v>
      </c>
    </row>
    <row r="20" spans="1:17">
      <c r="A20" s="65"/>
      <c r="B20" s="74" t="s">
        <v>26</v>
      </c>
    </row>
    <row r="21" spans="1:17">
      <c r="A21" s="35" t="s">
        <v>27</v>
      </c>
      <c r="B21" s="75" t="s">
        <v>28</v>
      </c>
    </row>
    <row r="22" spans="1:17">
      <c r="A22" s="35" t="s">
        <v>29</v>
      </c>
      <c r="B22" s="73" t="s">
        <v>30</v>
      </c>
    </row>
    <row r="23" spans="1:17">
      <c r="A23" s="35" t="s">
        <v>31</v>
      </c>
      <c r="B23" s="75" t="s">
        <v>32</v>
      </c>
    </row>
    <row r="24" spans="1:17">
      <c r="A24" s="35" t="s">
        <v>33</v>
      </c>
      <c r="B24" s="75" t="s">
        <v>34</v>
      </c>
    </row>
    <row r="25" spans="1:17">
      <c r="A25" s="39" t="s">
        <v>35</v>
      </c>
      <c r="B25" s="76" t="s">
        <v>36</v>
      </c>
    </row>
    <row r="26" spans="1:17">
      <c r="A26" s="50"/>
    </row>
    <row r="27" spans="1:17" s="17" customFormat="1" ht="21">
      <c r="A27" s="31" t="s">
        <v>37</v>
      </c>
    </row>
    <row r="29" spans="1:17">
      <c r="A29" t="s">
        <v>38</v>
      </c>
    </row>
    <row r="30" spans="1:17">
      <c r="A30" t="s">
        <v>7</v>
      </c>
      <c r="B30">
        <v>0</v>
      </c>
      <c r="C30">
        <f>B30+1</f>
        <v>1</v>
      </c>
      <c r="D30">
        <f t="shared" ref="D30:L30" si="2">C30+1</f>
        <v>2</v>
      </c>
      <c r="E30">
        <f t="shared" si="2"/>
        <v>3</v>
      </c>
      <c r="F30">
        <f t="shared" si="2"/>
        <v>4</v>
      </c>
      <c r="G30">
        <f t="shared" si="2"/>
        <v>5</v>
      </c>
      <c r="H30">
        <f t="shared" si="2"/>
        <v>6</v>
      </c>
      <c r="I30">
        <f t="shared" si="2"/>
        <v>7</v>
      </c>
      <c r="J30">
        <f t="shared" si="2"/>
        <v>8</v>
      </c>
      <c r="K30">
        <f t="shared" si="2"/>
        <v>9</v>
      </c>
      <c r="L30">
        <f t="shared" si="2"/>
        <v>10</v>
      </c>
      <c r="M30" s="71">
        <v>11</v>
      </c>
      <c r="N30" s="71">
        <v>12</v>
      </c>
      <c r="O30" s="71">
        <v>13</v>
      </c>
      <c r="P30" s="71">
        <v>14</v>
      </c>
      <c r="Q30" s="71">
        <v>15</v>
      </c>
    </row>
    <row r="31" spans="1:17">
      <c r="A31" t="s">
        <v>39</v>
      </c>
      <c r="B31" s="78">
        <f>SUM(B33:B36)</f>
        <v>-320000</v>
      </c>
      <c r="C31" s="78">
        <f>SUM(C33:C36)</f>
        <v>-1953.5282942353497</v>
      </c>
      <c r="D31" s="78">
        <f t="shared" ref="D31:Q31" si="3">SUM(D33:D36)</f>
        <v>-1953.5282942353497</v>
      </c>
      <c r="E31" s="78">
        <f t="shared" si="3"/>
        <v>-1953.5282942353497</v>
      </c>
      <c r="F31" s="78">
        <f t="shared" si="3"/>
        <v>-1953.5282942353497</v>
      </c>
      <c r="G31" s="78">
        <f t="shared" si="3"/>
        <v>-1953.5282942353497</v>
      </c>
      <c r="H31" s="78">
        <f t="shared" si="3"/>
        <v>-1953.5282942353497</v>
      </c>
      <c r="I31" s="78">
        <f t="shared" si="3"/>
        <v>-1953.5282942353497</v>
      </c>
      <c r="J31" s="78">
        <f t="shared" si="3"/>
        <v>-1953.5282942353497</v>
      </c>
      <c r="K31" s="78">
        <f t="shared" si="3"/>
        <v>-1953.5282942353497</v>
      </c>
      <c r="L31" s="78">
        <f t="shared" si="3"/>
        <v>-1953.5282942353497</v>
      </c>
      <c r="M31" s="78">
        <f t="shared" si="3"/>
        <v>-1953.5282942353497</v>
      </c>
      <c r="N31" s="78">
        <f t="shared" si="3"/>
        <v>-1953.5282942353497</v>
      </c>
      <c r="O31" s="78">
        <f t="shared" si="3"/>
        <v>-1953.5282942353497</v>
      </c>
      <c r="P31" s="78">
        <f t="shared" si="3"/>
        <v>-1953.5282942353497</v>
      </c>
      <c r="Q31" s="78">
        <f t="shared" si="3"/>
        <v>-1953.5282942353497</v>
      </c>
    </row>
    <row r="32" spans="1:17">
      <c r="M32" s="71"/>
      <c r="N32" s="71"/>
      <c r="O32" s="71"/>
      <c r="P32" s="71"/>
      <c r="Q32" s="71"/>
    </row>
    <row r="33" spans="1:17">
      <c r="A33" t="s">
        <v>33</v>
      </c>
      <c r="B33" s="70">
        <f>-1*(IF(B24="Minimum", Costs!C6*NPV!C6, IF(NPV!B24="Maximum", Costs!D6*NPV!C6, IF(NPV!B24="Average", Costs!E6*NPV!C6))))</f>
        <v>-320000</v>
      </c>
      <c r="C33" s="70">
        <f>0</f>
        <v>0</v>
      </c>
      <c r="D33" s="70">
        <f>0</f>
        <v>0</v>
      </c>
      <c r="E33" s="70">
        <f>0</f>
        <v>0</v>
      </c>
      <c r="F33" s="70">
        <f>0</f>
        <v>0</v>
      </c>
      <c r="G33" s="70">
        <f>0</f>
        <v>0</v>
      </c>
      <c r="H33" s="70">
        <f>0</f>
        <v>0</v>
      </c>
      <c r="I33" s="70">
        <f>0</f>
        <v>0</v>
      </c>
      <c r="J33" s="70">
        <f>0</f>
        <v>0</v>
      </c>
      <c r="K33" s="70">
        <f>0</f>
        <v>0</v>
      </c>
      <c r="L33" s="70">
        <f>0</f>
        <v>0</v>
      </c>
      <c r="M33" s="72">
        <f>0</f>
        <v>0</v>
      </c>
      <c r="N33" s="72">
        <f>0</f>
        <v>0</v>
      </c>
      <c r="O33" s="72">
        <f>0</f>
        <v>0</v>
      </c>
      <c r="P33" s="72">
        <f>0</f>
        <v>0</v>
      </c>
      <c r="Q33" s="72">
        <f>0</f>
        <v>0</v>
      </c>
    </row>
    <row r="34" spans="1:17">
      <c r="A34" t="s">
        <v>35</v>
      </c>
      <c r="B34" s="70">
        <f>0</f>
        <v>0</v>
      </c>
      <c r="C34" s="70">
        <f>-1*(IF(B25="Minimum", Costs!C32*NPV!C6, IF(NPV!B25="Maximum",Costs!D32*NPV!C6, IF(NPV!B25="Average", Costs!E32*NPV!C6))))</f>
        <v>-7000</v>
      </c>
      <c r="D34" s="70">
        <f>-1*(IF(B25="Minimum", Costs!C32*NPV!C6, IF(NPV!B25="Maximum",Costs!D32*NPV!C6, IF(NPV!B25="Average", Costs!E32*NPV!C6))))</f>
        <v>-7000</v>
      </c>
      <c r="E34" s="70">
        <f>-1*(IF(B25="Minimum", Costs!C32*NPV!C6, IF(NPV!B25="Maximum",Costs!D32*NPV!C6, IF(NPV!B25="Average", Costs!E32*NPV!C6))))</f>
        <v>-7000</v>
      </c>
      <c r="F34" s="70">
        <f>-1*(IF(B25="Minimum", Costs!C32*NPV!C6, IF(NPV!B25="Maximum",Costs!D32*NPV!C6, IF(NPV!B25="Average", Costs!E32*NPV!C6))))</f>
        <v>-7000</v>
      </c>
      <c r="G34" s="70">
        <f>-1*(IF(B25="Minimum", Costs!C32*NPV!C6, IF(NPV!B25="Maximum",Costs!D32*NPV!C6, IF(NPV!B25="Average", Costs!E32*NPV!C6))))</f>
        <v>-7000</v>
      </c>
      <c r="H34" s="70">
        <f>-1*(IF(B25="Minimum", Costs!C32*NPV!C6, IF(NPV!B25="Maximum",Costs!D32*NPV!C6, IF(NPV!B25="Average", Costs!E32*NPV!C6))))</f>
        <v>-7000</v>
      </c>
      <c r="I34" s="70">
        <f>-1*(IF(B25="Minimum", Costs!C32*NPV!C6, IF(NPV!B25="Maximum",Costs!D32*NPV!C6, IF(NPV!B25="Average", Costs!E32*NPV!C6))))</f>
        <v>-7000</v>
      </c>
      <c r="J34" s="70">
        <f>-1*(IF(B25="Minimum", Costs!C32*NPV!C6, IF(NPV!B25="Maximum",Costs!D32*NPV!C6, IF(NPV!B25="Average", Costs!E32*NPV!C6))))</f>
        <v>-7000</v>
      </c>
      <c r="K34" s="70">
        <f>-1*(IF(B25="Minimum", Costs!C32*NPV!C6, IF(NPV!B25="Maximum",Costs!D32*NPV!C6, IF(NPV!B25="Average", Costs!E32*NPV!C6))))</f>
        <v>-7000</v>
      </c>
      <c r="L34" s="70">
        <f>-1*(IF(B25="Minimum", Costs!C32*NPV!C6, IF(NPV!B25="Maximum",Costs!D32*NPV!C6, IF(NPV!B25="Average", Costs!E32*NPV!C6))))</f>
        <v>-7000</v>
      </c>
      <c r="M34" s="72">
        <f>-1*(IF(B25="Minimum", Costs!C32*NPV!C6, IF(NPV!B25="Maximum",Costs!D32*NPV!C6, IF(NPV!B25="Average", Costs!E32*NPV!C6))))</f>
        <v>-7000</v>
      </c>
      <c r="N34" s="72">
        <f>-1*(IF(B25="Minimum", Costs!C32*NPV!C6, IF(NPV!B25="Maximum",Costs!D32*NPV!C6, IF(NPV!B25="Average", Costs!E32*NPV!C6))))</f>
        <v>-7000</v>
      </c>
      <c r="O34" s="72">
        <f>-1*(IF(B25="Minimum", Costs!C32*NPV!C6, IF(NPV!B25="Maximum",Costs!D32*NPV!C6, IF(NPV!B25="Average", Costs!E32*NPV!C6))))</f>
        <v>-7000</v>
      </c>
      <c r="P34" s="72">
        <f>-1*(IF(B25="Minimum", Costs!C32*NPV!C6, IF(NPV!B25="Maximum",Costs!D32*NPV!C6, IF(NPV!B25="Average", Costs!E32*NPV!C6))))</f>
        <v>-7000</v>
      </c>
      <c r="Q34" s="72">
        <f>-1*(IF(B25="Minimum", Costs!C32*NPV!C6, IF(NPV!B25="Maximum",Costs!D32*NPV!C6, IF(NPV!B25="Average", Costs!E32*NPV!C6))))</f>
        <v>-7000</v>
      </c>
    </row>
    <row r="35" spans="1:17">
      <c r="A35" t="s">
        <v>40</v>
      </c>
      <c r="B35" s="70">
        <f>0</f>
        <v>0</v>
      </c>
      <c r="C35" s="70">
        <f>-1*(IF(B21="Emissions reduction", 'Network charges'!D20, IF(NPV!B21="Solar soaking", 'Network charges'!D21, IF(NPV!B21="Cost reduction", 'Network charges'!D22, IF(NPV!B21="Peak demand management", 'Network charges'!D23)))))</f>
        <v>1235.1599999999999</v>
      </c>
      <c r="D35" s="70">
        <f>-1*(IF(B21="Emissions reduction", 'Network charges'!D20, IF(NPV!B21="Solar soaking", 'Network charges'!D21, IF(NPV!B21="Cost reduction", 'Network charges'!D22, IF(NPV!B21="Peak demand management", 'Network charges'!D23)))))</f>
        <v>1235.1599999999999</v>
      </c>
      <c r="E35" s="70">
        <f>-1*(IF(B21="Emissions reduction", 'Network charges'!D20, IF(NPV!B21="Solar soaking", 'Network charges'!D21, IF(NPV!B21="Cost reduction", 'Network charges'!D22, IF(NPV!B21="Peak demand management", 'Network charges'!D23)))))</f>
        <v>1235.1599999999999</v>
      </c>
      <c r="F35" s="70">
        <f>-1*(IF(B21="Emissions reduction", 'Network charges'!D20, IF(NPV!B21="Solar soaking", 'Network charges'!D21, IF(NPV!B21="Cost reduction", 'Network charges'!D22, IF(NPV!B21="Peak demand management", 'Network charges'!D23)))))</f>
        <v>1235.1599999999999</v>
      </c>
      <c r="G35" s="70">
        <f>-1*(IF(B21="Emissions reduction", 'Network charges'!D20, IF(NPV!B21="Solar soaking", 'Network charges'!D21, IF(NPV!B21="Cost reduction", 'Network charges'!D22, IF(NPV!B21="Peak demand management", 'Network charges'!D23)))))</f>
        <v>1235.1599999999999</v>
      </c>
      <c r="H35" s="70">
        <f>-1*(IF(B21="Emissions reduction", 'Network charges'!D20, IF(NPV!B21="Solar soaking", 'Network charges'!D21, IF(NPV!B21="Cost reduction", 'Network charges'!D22, IF(NPV!B21="Peak demand management", 'Network charges'!D23)))))</f>
        <v>1235.1599999999999</v>
      </c>
      <c r="I35" s="70">
        <f>-1*(IF(B21="Emissions reduction", 'Network charges'!D20, IF(NPV!B21="Solar soaking", 'Network charges'!D21, IF(NPV!B21="Cost reduction", 'Network charges'!D22, IF(NPV!B21="Peak demand management", 'Network charges'!D23)))))</f>
        <v>1235.1599999999999</v>
      </c>
      <c r="J35" s="70">
        <f>-1*(IF(B21="Emissions reduction", 'Network charges'!D20, IF(NPV!B21="Solar soaking", 'Network charges'!D21, IF(NPV!B21="Cost reduction", 'Network charges'!D22, IF(NPV!B21="Peak demand management", 'Network charges'!D23)))))</f>
        <v>1235.1599999999999</v>
      </c>
      <c r="K35" s="70">
        <f>-1*(IF(B21="Emissions reduction", 'Network charges'!D20, IF(NPV!B21="Solar soaking", 'Network charges'!D21, IF(NPV!B21="Cost reduction", 'Network charges'!D22, IF(NPV!B21="Peak demand management", 'Network charges'!D23)))))</f>
        <v>1235.1599999999999</v>
      </c>
      <c r="L35" s="70">
        <f>-1*(IF(B21="Emissions reduction", 'Network charges'!D20, IF(NPV!B21="Solar soaking", 'Network charges'!D21, IF(NPV!B21="Cost reduction", 'Network charges'!D22, IF(NPV!B21="Peak demand management", 'Network charges'!D23)))))</f>
        <v>1235.1599999999999</v>
      </c>
      <c r="M35" s="72">
        <f>-1*(IF(B21="Emissions reduction", 'Network charges'!D20, IF(NPV!B21="Solar soaking", 'Network charges'!D21, IF(NPV!B21="Cost reduction", 'Network charges'!D22, IF(NPV!B21="Peak demand management", 'Network charges'!D23)))))</f>
        <v>1235.1599999999999</v>
      </c>
      <c r="N35" s="72">
        <f>-1*(IF(B21="Emissions reduction", 'Network charges'!D20, IF(NPV!B21="Solar soaking", 'Network charges'!D21, IF(NPV!B21="Cost reduction", 'Network charges'!D22, IF(NPV!B21="Peak demand management", 'Network charges'!D23)))))</f>
        <v>1235.1599999999999</v>
      </c>
      <c r="O35" s="72">
        <f>-1*(IF(B21="Emissions reduction", 'Network charges'!D20, IF(NPV!B21="Solar soaking", 'Network charges'!D21, IF(NPV!B21="Cost reduction", 'Network charges'!D22, IF(NPV!B21="Peak demand management", 'Network charges'!D23)))))</f>
        <v>1235.1599999999999</v>
      </c>
      <c r="P35" s="72">
        <f>-1*(IF(B21="Emissions reduction", 'Network charges'!D20, IF(NPV!B21="Solar soaking", 'Network charges'!D21, IF(NPV!B21="Cost reduction", 'Network charges'!D22, IF(NPV!B21="Peak demand management", 'Network charges'!D23)))))</f>
        <v>1235.1599999999999</v>
      </c>
      <c r="Q35" s="72">
        <f>-1*(IF(B21="Emissions reduction", 'Network charges'!D20, IF(NPV!B21="Solar soaking", 'Network charges'!D21, IF(NPV!B21="Cost reduction", 'Network charges'!D22, IF(NPV!B21="Peak demand management", 'Network charges'!D23)))))</f>
        <v>1235.1599999999999</v>
      </c>
    </row>
    <row r="36" spans="1:17">
      <c r="A36" t="s">
        <v>41</v>
      </c>
      <c r="B36" s="70">
        <f>0</f>
        <v>0</v>
      </c>
      <c r="C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D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E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F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G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H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I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J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K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L36" s="70">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M36" s="72">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N36" s="72">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O36" s="72">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P36" s="72">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c r="Q36" s="72">
        <f>(IF(AND(B21=Revenue!A3,NPV!B23=Revenue!A57),(Revenue!E8/1000*C6),IF(AND(NPV!B23=Revenue!A57,NPV!B21=Revenue!A10),(Revenue!E15/1000*C6),IF(AND(NPV!B23=Revenue!A57,NPV!B21=Revenue!A17),(Revenue!E22/1000*C6),IF(AND(NPV!B23=Revenue!A57,NPV!B21=Revenue!A24),(Revenue!E29/1000*C6),IF(NPV!B23=Revenue!A59,(Revenue!E36/1000*C5),IF(NPV!B23=Revenue!A61,Revenue!E43/1000*C5,IF(NPV!B23=Revenue!A60,(Revenue!E36+Revenue!E43/2/1000*C5),IF(AND(NPV!B23=Revenue!A58,NPV!B21=Revenue!A3),(Revenue!E8/1000*C6+Revenue!E36/1000*C5),IF(AND(NPV!B23=Revenue!A58,NPV!B21=Revenue!A10),(Revenue!E15*C6+Revenue!E36*C5)/1000,IF(AND(NPV!B23=Revenue!A58,NPV!B21=Revenue!A17),(Revenue!E22*C6+Revenue!E36*C5)/1000,IF(AND(NPV!B23=Revenue!A58,NPV!B21=Revenue!A24),(Revenue!E29*C6+Revenue!E36*C5)/1000))))))))))))</f>
        <v>3811.3117057646505</v>
      </c>
    </row>
    <row r="38" spans="1:17">
      <c r="A38" t="s">
        <v>42</v>
      </c>
      <c r="B38" s="77">
        <f>IF(C7=L30, NPV(C17, B31:L31), IF(C7=M30, NPV(C17, B31:M31), IF(C7=N30, NPV(C17, B31:N31), IF(C7=O30, NPV(C17, B31:O31), IF(C7=P30, NPV(C17, B31:P31), IF(C7=Q30, NPV(C17, B31:Q31)))))))</f>
        <v>-295569.52728101844</v>
      </c>
      <c r="C38" s="77"/>
    </row>
    <row r="39" spans="1:17">
      <c r="E39" s="78"/>
    </row>
    <row r="40" spans="1:17">
      <c r="E40" s="78"/>
    </row>
  </sheetData>
  <conditionalFormatting sqref="B31:Q36">
    <cfRule type="cellIs" dxfId="9" priority="3" operator="lessThan">
      <formula>0</formula>
    </cfRule>
  </conditionalFormatting>
  <conditionalFormatting sqref="B38">
    <cfRule type="cellIs" dxfId="8" priority="1" operator="greaterThan">
      <formula>0</formula>
    </cfRule>
    <cfRule type="cellIs" dxfId="7" priority="2" operator="lessThan">
      <formula>0</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prompt="Select an operation schedule" xr:uid="{F6A57A69-D3F2-4CB0-8A5F-092DD21F4DC2}">
          <x14:formula1>
            <xm:f>'Network charges'!$A$13:$A$16</xm:f>
          </x14:formula1>
          <xm:sqref>B21</xm:sqref>
        </x14:dataValidation>
        <x14:dataValidation type="list" allowBlank="1" showInputMessage="1" showErrorMessage="1" prompt="Select which revenue streams are applicable" xr:uid="{87FA5AC4-F932-41B8-B287-C4BC0B585F76}">
          <x14:formula1>
            <xm:f>Revenue!$A$57:$A$61</xm:f>
          </x14:formula1>
          <xm:sqref>B23</xm:sqref>
        </x14:dataValidation>
        <x14:dataValidation type="list" allowBlank="1" showInputMessage="1" showErrorMessage="1" prompt="Select range for OPEX costs" xr:uid="{06C08B42-015F-40F8-AD0E-E96725001707}">
          <x14:formula1>
            <xm:f>Costs!$A$53:$A$55</xm:f>
          </x14:formula1>
          <xm:sqref>B25</xm:sqref>
        </x14:dataValidation>
        <x14:dataValidation type="list" allowBlank="1" showInputMessage="1" showErrorMessage="1" prompt="Select range for CAPEX costs_x000a_" xr:uid="{8AF90F5F-E424-42AC-B6C5-2D18CBD46743}">
          <x14:formula1>
            <xm:f>Costs!$A$53:$A$55</xm:f>
          </x14:formula1>
          <xm:sqref>B24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E97E-84AA-43B6-BA71-95A6D322E339}">
  <dimension ref="A1:U55"/>
  <sheetViews>
    <sheetView tabSelected="1" topLeftCell="A36" workbookViewId="0">
      <selection activeCell="C47" sqref="C47"/>
    </sheetView>
  </sheetViews>
  <sheetFormatPr defaultRowHeight="14.45"/>
  <cols>
    <col min="1" max="1" width="32.7109375" customWidth="1"/>
    <col min="2" max="2" width="16.42578125" customWidth="1"/>
    <col min="3" max="3" width="14.140625" customWidth="1"/>
    <col min="4" max="4" width="12.7109375" bestFit="1" customWidth="1"/>
    <col min="5" max="5" width="14.42578125" customWidth="1"/>
    <col min="6" max="6" width="13.5703125" bestFit="1" customWidth="1"/>
    <col min="7" max="7" width="12.7109375" customWidth="1"/>
    <col min="8" max="8" width="12.140625" bestFit="1" customWidth="1"/>
    <col min="9" max="9" width="22.7109375" customWidth="1"/>
    <col min="10" max="10" width="18" customWidth="1"/>
    <col min="11" max="11" width="11.7109375" customWidth="1"/>
  </cols>
  <sheetData>
    <row r="1" spans="1:10" ht="21">
      <c r="A1" s="16" t="s">
        <v>43</v>
      </c>
    </row>
    <row r="2" spans="1:10" s="17" customFormat="1" ht="21">
      <c r="A2" s="21" t="s">
        <v>44</v>
      </c>
      <c r="E2" s="19"/>
      <c r="I2" s="90"/>
      <c r="J2" s="90"/>
    </row>
    <row r="3" spans="1:10" ht="15" customHeight="1">
      <c r="A3" s="63"/>
      <c r="E3" s="16"/>
      <c r="I3" s="64"/>
      <c r="J3" s="64"/>
    </row>
    <row r="4" spans="1:10" ht="15" customHeight="1">
      <c r="A4" s="66" t="s">
        <v>45</v>
      </c>
      <c r="E4" s="16"/>
      <c r="I4" s="64"/>
      <c r="J4" s="64"/>
    </row>
    <row r="5" spans="1:10" ht="14.1" customHeight="1">
      <c r="A5" s="65"/>
      <c r="B5" s="3" t="s">
        <v>2</v>
      </c>
      <c r="C5" s="3" t="s">
        <v>46</v>
      </c>
      <c r="D5" s="3" t="s">
        <v>47</v>
      </c>
      <c r="E5" s="4" t="s">
        <v>48</v>
      </c>
      <c r="I5" s="64"/>
      <c r="J5" s="64"/>
    </row>
    <row r="6" spans="1:10" ht="14.1" customHeight="1">
      <c r="A6" s="6" t="s">
        <v>49</v>
      </c>
      <c r="B6" s="34" t="s">
        <v>50</v>
      </c>
      <c r="C6" s="67">
        <v>800</v>
      </c>
      <c r="D6" s="67">
        <v>1600</v>
      </c>
      <c r="E6" s="68">
        <f>(D6+C6)/2</f>
        <v>1200</v>
      </c>
      <c r="I6" s="64"/>
      <c r="J6" s="64"/>
    </row>
    <row r="7" spans="1:10" ht="14.1" customHeight="1">
      <c r="A7" s="63"/>
      <c r="E7" s="16"/>
    </row>
    <row r="8" spans="1:10" ht="14.1" customHeight="1">
      <c r="A8" s="66" t="s">
        <v>51</v>
      </c>
      <c r="E8" s="16"/>
    </row>
    <row r="9" spans="1:10">
      <c r="A9" s="42"/>
      <c r="B9" s="3" t="s">
        <v>2</v>
      </c>
      <c r="C9" s="3" t="s">
        <v>46</v>
      </c>
      <c r="D9" s="4" t="s">
        <v>47</v>
      </c>
    </row>
    <row r="10" spans="1:10">
      <c r="A10" s="30" t="s">
        <v>52</v>
      </c>
      <c r="B10" s="32" t="s">
        <v>53</v>
      </c>
      <c r="C10" s="52">
        <v>60000</v>
      </c>
      <c r="D10" s="53">
        <v>150000</v>
      </c>
    </row>
    <row r="11" spans="1:10" ht="15">
      <c r="A11" s="30" t="s">
        <v>54</v>
      </c>
      <c r="B11" s="32" t="s">
        <v>53</v>
      </c>
      <c r="C11" s="52"/>
      <c r="D11" s="53"/>
    </row>
    <row r="12" spans="1:10" ht="15">
      <c r="A12" s="30" t="s">
        <v>55</v>
      </c>
      <c r="B12" s="32" t="s">
        <v>53</v>
      </c>
      <c r="C12" s="52">
        <v>0</v>
      </c>
      <c r="D12" s="53">
        <v>900</v>
      </c>
    </row>
    <row r="13" spans="1:10">
      <c r="A13" s="5" t="s">
        <v>56</v>
      </c>
      <c r="B13" t="s">
        <v>57</v>
      </c>
      <c r="C13" s="24">
        <v>150000</v>
      </c>
      <c r="D13" s="25">
        <v>200000</v>
      </c>
    </row>
    <row r="14" spans="1:10">
      <c r="A14" s="30" t="s">
        <v>58</v>
      </c>
      <c r="B14" s="32" t="s">
        <v>53</v>
      </c>
      <c r="C14" s="52"/>
      <c r="D14" s="53"/>
    </row>
    <row r="15" spans="1:10">
      <c r="A15" s="30" t="s">
        <v>59</v>
      </c>
      <c r="B15" s="32" t="s">
        <v>53</v>
      </c>
      <c r="C15" s="52"/>
      <c r="D15" s="53"/>
    </row>
    <row r="16" spans="1:10">
      <c r="A16" s="30" t="s">
        <v>60</v>
      </c>
      <c r="B16" s="32" t="s">
        <v>50</v>
      </c>
      <c r="C16" s="52">
        <v>1000</v>
      </c>
      <c r="D16" s="53">
        <v>1200</v>
      </c>
    </row>
    <row r="17" spans="1:21">
      <c r="A17" s="30" t="s">
        <v>61</v>
      </c>
      <c r="B17" s="32" t="s">
        <v>50</v>
      </c>
      <c r="C17" s="52"/>
      <c r="D17" s="53"/>
    </row>
    <row r="18" spans="1:21" ht="15.6">
      <c r="A18" s="30" t="s">
        <v>62</v>
      </c>
      <c r="B18" s="32" t="s">
        <v>53</v>
      </c>
      <c r="C18" s="52"/>
      <c r="D18" s="53"/>
      <c r="O18" s="22"/>
      <c r="P18" s="22"/>
      <c r="Q18" s="22"/>
      <c r="R18" s="22"/>
      <c r="S18" s="22"/>
      <c r="T18" s="22"/>
      <c r="U18" s="22"/>
    </row>
    <row r="19" spans="1:21" ht="15.6">
      <c r="A19" s="30" t="s">
        <v>63</v>
      </c>
      <c r="B19" s="32" t="s">
        <v>53</v>
      </c>
      <c r="C19" s="52"/>
      <c r="D19" s="53"/>
      <c r="O19" s="22"/>
      <c r="P19" s="22"/>
      <c r="Q19" s="22"/>
      <c r="R19" s="22"/>
      <c r="S19" s="22"/>
      <c r="T19" s="22"/>
      <c r="U19" s="22"/>
    </row>
    <row r="20" spans="1:21" ht="15.6">
      <c r="A20" s="30" t="s">
        <v>64</v>
      </c>
      <c r="B20" s="32" t="s">
        <v>53</v>
      </c>
      <c r="C20" s="52">
        <v>400</v>
      </c>
      <c r="D20" s="53">
        <v>700</v>
      </c>
      <c r="K20" s="22"/>
      <c r="L20" s="22"/>
      <c r="M20" s="22"/>
      <c r="N20" s="22"/>
      <c r="O20" s="22"/>
      <c r="P20" s="22"/>
      <c r="Q20" s="22"/>
      <c r="R20" s="22"/>
      <c r="S20" s="22"/>
      <c r="T20" s="22"/>
      <c r="U20" s="22"/>
    </row>
    <row r="21" spans="1:21">
      <c r="A21" s="30" t="s">
        <v>65</v>
      </c>
      <c r="B21" s="32" t="s">
        <v>53</v>
      </c>
      <c r="C21" s="52"/>
      <c r="D21" s="53"/>
    </row>
    <row r="22" spans="1:21">
      <c r="A22" s="30" t="s">
        <v>66</v>
      </c>
      <c r="B22" s="32" t="s">
        <v>67</v>
      </c>
      <c r="C22" s="52"/>
      <c r="D22" s="53"/>
    </row>
    <row r="23" spans="1:21">
      <c r="A23" s="30" t="s">
        <v>68</v>
      </c>
      <c r="B23" s="32" t="s">
        <v>53</v>
      </c>
      <c r="C23" s="54"/>
      <c r="D23" s="55"/>
    </row>
    <row r="24" spans="1:21" ht="15">
      <c r="A24" s="30" t="s">
        <v>69</v>
      </c>
      <c r="B24" s="32" t="s">
        <v>53</v>
      </c>
      <c r="C24" s="54"/>
      <c r="D24" s="55"/>
    </row>
    <row r="25" spans="1:21">
      <c r="A25" s="30" t="s">
        <v>70</v>
      </c>
      <c r="B25" s="32" t="s">
        <v>53</v>
      </c>
      <c r="C25" s="54"/>
      <c r="D25" s="55"/>
      <c r="K25" s="28"/>
    </row>
    <row r="26" spans="1:21">
      <c r="A26" s="61" t="s">
        <v>71</v>
      </c>
      <c r="B26" s="33" t="s">
        <v>53</v>
      </c>
      <c r="C26" s="59"/>
      <c r="D26" s="62"/>
      <c r="K26" s="28"/>
    </row>
    <row r="27" spans="1:21">
      <c r="A27" s="29"/>
      <c r="B27" s="32"/>
      <c r="C27" s="32"/>
      <c r="D27" s="32"/>
      <c r="K27" s="28"/>
    </row>
    <row r="28" spans="1:21" s="17" customFormat="1" ht="22.5" customHeight="1">
      <c r="A28" s="21" t="s">
        <v>72</v>
      </c>
      <c r="E28" s="19"/>
      <c r="I28" s="90"/>
      <c r="J28" s="90"/>
    </row>
    <row r="29" spans="1:21" ht="14.1" customHeight="1">
      <c r="A29" s="22"/>
      <c r="E29" s="16"/>
      <c r="I29" s="64"/>
      <c r="J29" s="64"/>
    </row>
    <row r="30" spans="1:21" ht="14.1" customHeight="1">
      <c r="A30" s="66" t="s">
        <v>73</v>
      </c>
      <c r="E30" s="16"/>
      <c r="I30" s="64"/>
      <c r="J30" s="64"/>
    </row>
    <row r="31" spans="1:21" ht="14.1" customHeight="1">
      <c r="A31" s="65"/>
      <c r="B31" s="3" t="s">
        <v>2</v>
      </c>
      <c r="C31" s="3" t="s">
        <v>46</v>
      </c>
      <c r="D31" s="3" t="s">
        <v>47</v>
      </c>
      <c r="E31" s="4" t="s">
        <v>48</v>
      </c>
      <c r="I31" s="64"/>
      <c r="J31" s="64"/>
    </row>
    <row r="32" spans="1:21" ht="14.1" customHeight="1">
      <c r="A32" s="6" t="s">
        <v>74</v>
      </c>
      <c r="B32" s="34" t="s">
        <v>50</v>
      </c>
      <c r="C32" s="67">
        <v>10</v>
      </c>
      <c r="D32" s="67">
        <v>60</v>
      </c>
      <c r="E32" s="68">
        <f>(D32+C32)/2</f>
        <v>35</v>
      </c>
      <c r="I32" s="64"/>
      <c r="J32" s="64"/>
    </row>
    <row r="33" spans="1:11" ht="14.1" customHeight="1">
      <c r="A33" s="63"/>
      <c r="E33" s="16"/>
      <c r="I33" s="64"/>
      <c r="J33" s="64"/>
    </row>
    <row r="34" spans="1:11" ht="14.1" customHeight="1">
      <c r="A34" s="66" t="s">
        <v>75</v>
      </c>
      <c r="E34" s="16"/>
      <c r="I34" s="64"/>
      <c r="J34" s="64"/>
    </row>
    <row r="35" spans="1:11">
      <c r="A35" s="42"/>
      <c r="B35" s="3" t="s">
        <v>2</v>
      </c>
      <c r="C35" s="3" t="s">
        <v>46</v>
      </c>
      <c r="D35" s="4" t="s">
        <v>47</v>
      </c>
      <c r="J35" s="28"/>
      <c r="K35" s="28"/>
    </row>
    <row r="36" spans="1:11">
      <c r="A36" s="5" t="s">
        <v>56</v>
      </c>
      <c r="B36" t="s">
        <v>57</v>
      </c>
      <c r="C36" s="24">
        <v>150000</v>
      </c>
      <c r="D36" s="25">
        <v>200000</v>
      </c>
      <c r="J36" s="28"/>
      <c r="K36" s="28"/>
    </row>
    <row r="37" spans="1:11">
      <c r="A37" s="5" t="s">
        <v>76</v>
      </c>
      <c r="B37" t="s">
        <v>57</v>
      </c>
      <c r="C37" s="24"/>
      <c r="D37" s="25"/>
      <c r="J37" s="28"/>
      <c r="K37" s="28"/>
    </row>
    <row r="38" spans="1:11">
      <c r="A38" s="5" t="s">
        <v>77</v>
      </c>
      <c r="B38" t="s">
        <v>57</v>
      </c>
      <c r="C38" s="24">
        <v>60</v>
      </c>
      <c r="D38" s="25">
        <v>600</v>
      </c>
      <c r="J38" s="28"/>
      <c r="K38" s="28"/>
    </row>
    <row r="39" spans="1:11">
      <c r="A39" s="5" t="s">
        <v>78</v>
      </c>
      <c r="B39" t="s">
        <v>57</v>
      </c>
      <c r="C39" s="24">
        <v>0</v>
      </c>
      <c r="D39" s="25"/>
      <c r="J39" s="28"/>
      <c r="K39" s="28"/>
    </row>
    <row r="40" spans="1:11">
      <c r="A40" s="5" t="s">
        <v>79</v>
      </c>
      <c r="B40" t="s">
        <v>57</v>
      </c>
      <c r="C40" s="24">
        <v>500</v>
      </c>
      <c r="D40" s="25">
        <v>1500</v>
      </c>
      <c r="J40" s="28"/>
      <c r="K40" s="28"/>
    </row>
    <row r="41" spans="1:11">
      <c r="A41" s="5" t="s">
        <v>80</v>
      </c>
      <c r="B41" t="s">
        <v>57</v>
      </c>
      <c r="C41" s="24">
        <f>'Network charges'!D22</f>
        <v>-446.76</v>
      </c>
      <c r="D41" s="25">
        <f>'Network charges'!D21</f>
        <v>-1235.1599999999999</v>
      </c>
      <c r="J41" s="28"/>
      <c r="K41" s="28"/>
    </row>
    <row r="42" spans="1:11">
      <c r="A42" s="5" t="s">
        <v>81</v>
      </c>
      <c r="B42" t="s">
        <v>82</v>
      </c>
      <c r="C42" s="24"/>
      <c r="D42" s="25"/>
      <c r="J42" s="28"/>
      <c r="K42" s="28"/>
    </row>
    <row r="43" spans="1:11">
      <c r="A43" s="5" t="s">
        <v>83</v>
      </c>
      <c r="B43" t="s">
        <v>57</v>
      </c>
      <c r="C43" s="24"/>
      <c r="D43" s="25"/>
      <c r="J43" s="28"/>
      <c r="K43" s="28"/>
    </row>
    <row r="44" spans="1:11">
      <c r="A44" s="5" t="s">
        <v>84</v>
      </c>
      <c r="B44" t="s">
        <v>57</v>
      </c>
      <c r="C44" s="24"/>
      <c r="D44" s="25"/>
      <c r="J44" s="28"/>
    </row>
    <row r="45" spans="1:11">
      <c r="A45" s="5" t="s">
        <v>85</v>
      </c>
      <c r="B45" t="s">
        <v>57</v>
      </c>
      <c r="C45" s="24"/>
      <c r="D45" s="25"/>
    </row>
    <row r="46" spans="1:11">
      <c r="A46" s="5" t="s">
        <v>86</v>
      </c>
      <c r="B46" t="s">
        <v>57</v>
      </c>
      <c r="C46" s="24"/>
      <c r="D46" s="25"/>
    </row>
    <row r="47" spans="1:11" ht="15">
      <c r="A47" s="5" t="s">
        <v>87</v>
      </c>
      <c r="B47" t="s">
        <v>53</v>
      </c>
      <c r="C47" s="24"/>
      <c r="D47" s="25"/>
    </row>
    <row r="48" spans="1:11">
      <c r="A48" s="6" t="s">
        <v>88</v>
      </c>
      <c r="B48" s="34" t="s">
        <v>89</v>
      </c>
      <c r="C48" s="26"/>
      <c r="D48" s="27"/>
    </row>
    <row r="50" spans="1:10">
      <c r="A50" t="s">
        <v>90</v>
      </c>
    </row>
    <row r="52" spans="1:10" s="17" customFormat="1" ht="22.5" customHeight="1">
      <c r="A52" s="21" t="s">
        <v>91</v>
      </c>
      <c r="E52" s="19"/>
      <c r="I52" s="90"/>
      <c r="J52" s="90"/>
    </row>
    <row r="53" spans="1:10">
      <c r="A53" t="s">
        <v>92</v>
      </c>
    </row>
    <row r="54" spans="1:10">
      <c r="A54" t="s">
        <v>34</v>
      </c>
    </row>
    <row r="55" spans="1:10">
      <c r="A55" t="s">
        <v>36</v>
      </c>
    </row>
  </sheetData>
  <mergeCells count="3">
    <mergeCell ref="I2:J2"/>
    <mergeCell ref="I28:J28"/>
    <mergeCell ref="I52:J52"/>
  </mergeCells>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579C0-86D6-4F6B-97AD-59280C24749C}">
  <dimension ref="A1:J23"/>
  <sheetViews>
    <sheetView workbookViewId="0">
      <selection activeCell="G10" sqref="G10"/>
    </sheetView>
  </sheetViews>
  <sheetFormatPr defaultRowHeight="14.45"/>
  <cols>
    <col min="1" max="1" width="24.140625" customWidth="1"/>
    <col min="2" max="2" width="18.5703125" customWidth="1"/>
    <col min="3" max="3" width="17.5703125" customWidth="1"/>
    <col min="4" max="4" width="10.140625" bestFit="1" customWidth="1"/>
    <col min="5" max="5" width="16.5703125" customWidth="1"/>
  </cols>
  <sheetData>
    <row r="1" spans="1:10" ht="21">
      <c r="A1" s="16" t="s">
        <v>93</v>
      </c>
    </row>
    <row r="3" spans="1:10" ht="15.6">
      <c r="A3" s="22" t="s">
        <v>94</v>
      </c>
      <c r="E3" s="2" t="s">
        <v>0</v>
      </c>
      <c r="F3" s="2"/>
      <c r="G3" s="2"/>
      <c r="H3" s="2"/>
      <c r="I3" s="2"/>
      <c r="J3" s="2"/>
    </row>
    <row r="4" spans="1:10">
      <c r="A4" s="2" t="s">
        <v>95</v>
      </c>
      <c r="B4" s="2" t="s">
        <v>96</v>
      </c>
      <c r="C4" s="2" t="s">
        <v>97</v>
      </c>
      <c r="E4" t="s">
        <v>60</v>
      </c>
      <c r="F4">
        <f>NPV!C6</f>
        <v>200</v>
      </c>
      <c r="G4" t="s">
        <v>11</v>
      </c>
      <c r="I4" t="s">
        <v>98</v>
      </c>
      <c r="J4" s="56">
        <f>NPV!C11</f>
        <v>0.85</v>
      </c>
    </row>
    <row r="5" spans="1:10">
      <c r="A5" t="s">
        <v>99</v>
      </c>
      <c r="B5">
        <v>-1.5</v>
      </c>
      <c r="C5">
        <v>0</v>
      </c>
      <c r="E5" t="s">
        <v>100</v>
      </c>
      <c r="F5">
        <v>2</v>
      </c>
      <c r="G5" t="s">
        <v>101</v>
      </c>
      <c r="I5" t="s">
        <v>102</v>
      </c>
      <c r="J5" s="56">
        <f>NPV!C12</f>
        <v>0.9</v>
      </c>
    </row>
    <row r="6" spans="1:10">
      <c r="A6" t="s">
        <v>103</v>
      </c>
      <c r="B6">
        <v>25</v>
      </c>
      <c r="C6">
        <v>-1</v>
      </c>
      <c r="E6" t="s">
        <v>104</v>
      </c>
      <c r="F6">
        <v>2</v>
      </c>
      <c r="G6" t="s">
        <v>101</v>
      </c>
      <c r="I6" t="s">
        <v>105</v>
      </c>
      <c r="J6" s="56">
        <f>NPV!C9</f>
        <v>0.8</v>
      </c>
    </row>
    <row r="7" spans="1:10">
      <c r="A7" t="s">
        <v>106</v>
      </c>
      <c r="B7">
        <v>0</v>
      </c>
      <c r="C7">
        <v>0</v>
      </c>
    </row>
    <row r="9" spans="1:10">
      <c r="A9" t="s">
        <v>107</v>
      </c>
    </row>
    <row r="11" spans="1:10" s="17" customFormat="1" ht="18.600000000000001">
      <c r="A11" s="21" t="s">
        <v>108</v>
      </c>
    </row>
    <row r="12" spans="1:10">
      <c r="A12" s="2"/>
      <c r="B12" s="2" t="s">
        <v>109</v>
      </c>
      <c r="C12" s="2" t="s">
        <v>110</v>
      </c>
      <c r="D12" s="2" t="s">
        <v>111</v>
      </c>
    </row>
    <row r="13" spans="1:10">
      <c r="A13" t="s">
        <v>112</v>
      </c>
      <c r="B13" s="15">
        <f>B5*F4*J5*J6</f>
        <v>-216</v>
      </c>
      <c r="C13" s="15">
        <f>C7*J4*J5*J6*F4</f>
        <v>0</v>
      </c>
      <c r="D13" s="15">
        <f>B13+C13</f>
        <v>-216</v>
      </c>
    </row>
    <row r="14" spans="1:10">
      <c r="A14" t="s">
        <v>28</v>
      </c>
      <c r="B14" s="15">
        <f>B5*F4*J5*J6</f>
        <v>-216</v>
      </c>
      <c r="C14" s="15">
        <f>C6*F4*J4*J5*J6</f>
        <v>-122.4</v>
      </c>
      <c r="D14" s="15">
        <f t="shared" ref="D14:D16" si="0">B14+C14</f>
        <v>-338.4</v>
      </c>
    </row>
    <row r="15" spans="1:10">
      <c r="A15" t="s">
        <v>113</v>
      </c>
      <c r="B15" s="15">
        <f>B7*F4*J5*J6</f>
        <v>0</v>
      </c>
      <c r="C15" s="15">
        <f>C6*F4*J4*J5*J6</f>
        <v>-122.4</v>
      </c>
      <c r="D15" s="15">
        <f t="shared" si="0"/>
        <v>-122.4</v>
      </c>
    </row>
    <row r="16" spans="1:10">
      <c r="A16" t="s">
        <v>114</v>
      </c>
      <c r="B16" s="15">
        <f>F4*B7*J5*J6+B5*F4*J5*J6</f>
        <v>-216</v>
      </c>
      <c r="C16" s="15">
        <f>F4*C7*J5*J6*J4+C6*F4*J4*J5*J6</f>
        <v>-122.4</v>
      </c>
      <c r="D16" s="15">
        <f t="shared" si="0"/>
        <v>-338.4</v>
      </c>
    </row>
    <row r="17" spans="1:4">
      <c r="B17" s="15"/>
      <c r="C17" s="15"/>
      <c r="D17" s="15"/>
    </row>
    <row r="18" spans="1:4" s="17" customFormat="1" ht="18.600000000000001">
      <c r="A18" s="21" t="s">
        <v>115</v>
      </c>
      <c r="B18" s="57"/>
      <c r="C18" s="57"/>
      <c r="D18" s="57"/>
    </row>
    <row r="19" spans="1:4">
      <c r="A19" s="2"/>
      <c r="B19" s="58" t="s">
        <v>109</v>
      </c>
      <c r="C19" s="58" t="s">
        <v>110</v>
      </c>
      <c r="D19" s="58" t="s">
        <v>111</v>
      </c>
    </row>
    <row r="20" spans="1:4">
      <c r="A20" t="s">
        <v>112</v>
      </c>
      <c r="B20" s="11">
        <f>B13*365/100</f>
        <v>-788.4</v>
      </c>
      <c r="C20" s="11">
        <f>C13*365/100</f>
        <v>0</v>
      </c>
      <c r="D20" s="69">
        <f>B20+C20</f>
        <v>-788.4</v>
      </c>
    </row>
    <row r="21" spans="1:4">
      <c r="A21" t="s">
        <v>28</v>
      </c>
      <c r="B21" s="11">
        <f>B14*365/100</f>
        <v>-788.4</v>
      </c>
      <c r="C21" s="11">
        <f>C14*365/100</f>
        <v>-446.76</v>
      </c>
      <c r="D21" s="69">
        <f t="shared" ref="D21:D23" si="1">B21+C21</f>
        <v>-1235.1599999999999</v>
      </c>
    </row>
    <row r="22" spans="1:4">
      <c r="A22" t="s">
        <v>113</v>
      </c>
      <c r="B22" s="11">
        <f t="shared" ref="B22:C23" si="2">B15*365/100</f>
        <v>0</v>
      </c>
      <c r="C22" s="11">
        <f t="shared" si="2"/>
        <v>-446.76</v>
      </c>
      <c r="D22" s="69">
        <f t="shared" si="1"/>
        <v>-446.76</v>
      </c>
    </row>
    <row r="23" spans="1:4">
      <c r="A23" t="s">
        <v>114</v>
      </c>
      <c r="B23" s="11">
        <f t="shared" si="2"/>
        <v>-788.4</v>
      </c>
      <c r="C23" s="11">
        <f t="shared" si="2"/>
        <v>-446.76</v>
      </c>
      <c r="D23" s="69">
        <f t="shared" si="1"/>
        <v>-1235.1599999999999</v>
      </c>
    </row>
  </sheetData>
  <conditionalFormatting sqref="D13:D16">
    <cfRule type="cellIs" dxfId="6" priority="2" operator="lessThan">
      <formula>0</formula>
    </cfRule>
  </conditionalFormatting>
  <conditionalFormatting sqref="D20:D23">
    <cfRule type="cellIs" dxfId="5" priority="1" operator="lessThan">
      <formula>0</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9AA38-7891-48EF-850B-4DECF74A0312}">
  <dimension ref="A1:E61"/>
  <sheetViews>
    <sheetView workbookViewId="0">
      <selection activeCell="E5" sqref="E5"/>
    </sheetView>
  </sheetViews>
  <sheetFormatPr defaultRowHeight="14.45"/>
  <cols>
    <col min="1" max="1" width="32.7109375" customWidth="1"/>
    <col min="2" max="2" width="16.42578125" customWidth="1"/>
    <col min="3" max="3" width="14.140625" customWidth="1"/>
    <col min="4" max="4" width="12.7109375" bestFit="1" customWidth="1"/>
    <col min="5" max="5" width="17.140625" customWidth="1"/>
    <col min="6" max="6" width="13.5703125" bestFit="1" customWidth="1"/>
    <col min="7" max="7" width="12.7109375" customWidth="1"/>
    <col min="8" max="8" width="12.140625" bestFit="1" customWidth="1"/>
    <col min="9" max="9" width="14" customWidth="1"/>
    <col min="10" max="10" width="17.7109375" customWidth="1"/>
    <col min="11" max="11" width="16.5703125" customWidth="1"/>
  </cols>
  <sheetData>
    <row r="1" spans="1:5" ht="21">
      <c r="A1" s="16" t="s">
        <v>41</v>
      </c>
    </row>
    <row r="2" spans="1:5" s="17" customFormat="1" ht="18.600000000000001">
      <c r="A2" s="21" t="s">
        <v>116</v>
      </c>
    </row>
    <row r="3" spans="1:5" ht="15.6">
      <c r="A3" s="47" t="s">
        <v>112</v>
      </c>
    </row>
    <row r="4" spans="1:5">
      <c r="A4" s="7" t="s">
        <v>117</v>
      </c>
      <c r="B4" s="3" t="s">
        <v>118</v>
      </c>
      <c r="C4" s="3" t="s">
        <v>119</v>
      </c>
      <c r="D4" s="3" t="s">
        <v>120</v>
      </c>
      <c r="E4" s="4" t="s">
        <v>121</v>
      </c>
    </row>
    <row r="5" spans="1:5">
      <c r="A5" s="5" t="s">
        <v>122</v>
      </c>
      <c r="B5" s="11">
        <f>0.1*AVERAGE('Energy arbitrage'!B21:B24)/10</f>
        <v>-721.90085422442803</v>
      </c>
      <c r="C5" s="11">
        <f>0.3*AVERAGE('Energy arbitrage'!B21:B24)/10</f>
        <v>-2165.7025626732839</v>
      </c>
      <c r="D5" s="11">
        <f>0.5*AVERAGE('Energy arbitrage'!B21:B24)/10</f>
        <v>-3609.5042711221404</v>
      </c>
      <c r="E5" s="12">
        <f>AVERAGE('Energy arbitrage'!B21:B24)/10</f>
        <v>-7219.0085422442808</v>
      </c>
    </row>
    <row r="6" spans="1:5">
      <c r="A6" s="5" t="s">
        <v>123</v>
      </c>
      <c r="B6" s="11">
        <f>0.1*AVERAGE('Energy arbitrage'!B45:B48)/10</f>
        <v>42.484738549601538</v>
      </c>
      <c r="C6" s="11">
        <f>0.3*AVERAGE('Energy arbitrage'!B45:B48)/10</f>
        <v>127.45421564880459</v>
      </c>
      <c r="D6" s="11">
        <f>0.5*AVERAGE('Energy arbitrage'!B45:B48)/10</f>
        <v>212.42369274800768</v>
      </c>
      <c r="E6" s="12">
        <f>AVERAGE('Energy arbitrage'!B45:B48)/10</f>
        <v>424.84738549601536</v>
      </c>
    </row>
    <row r="7" spans="1:5">
      <c r="A7" s="5" t="s">
        <v>124</v>
      </c>
      <c r="B7" s="11">
        <f>0.1*AVERAGE('Energy arbitrage'!B33:B36)/10</f>
        <v>240.21405230893251</v>
      </c>
      <c r="C7" s="11">
        <f>0.3*AVERAGE('Energy arbitrage'!B33:B36)/10</f>
        <v>720.6421569267975</v>
      </c>
      <c r="D7" s="11">
        <f>0.5*AVERAGE('Energy arbitrage'!B33:B36)/10</f>
        <v>1201.0702615446626</v>
      </c>
      <c r="E7" s="12">
        <f>AVERAGE('Energy arbitrage'!B33:B36)/10</f>
        <v>2402.1405230893251</v>
      </c>
    </row>
    <row r="8" spans="1:5">
      <c r="A8" s="6" t="s">
        <v>30</v>
      </c>
      <c r="B8" s="13">
        <f>0.1*AVERAGE('Energy arbitrage'!B9:B12)/10</f>
        <v>-860.53067132722117</v>
      </c>
      <c r="C8" s="13">
        <f>0.3*AVERAGE('Energy arbitrage'!B9:B12)/10</f>
        <v>-2581.5920139816635</v>
      </c>
      <c r="D8" s="13">
        <f>0.5*AVERAGE('Energy arbitrage'!B9:B12)/10</f>
        <v>-4302.6533566361059</v>
      </c>
      <c r="E8" s="14">
        <f>AVERAGE('Energy arbitrage'!B9:B12)/10</f>
        <v>-8605.3067132722117</v>
      </c>
    </row>
    <row r="9" spans="1:5">
      <c r="B9" s="11"/>
      <c r="C9" s="11"/>
      <c r="D9" s="11"/>
      <c r="E9" s="11"/>
    </row>
    <row r="10" spans="1:5" ht="15.6">
      <c r="A10" s="47" t="s">
        <v>28</v>
      </c>
      <c r="B10" s="11"/>
      <c r="C10" s="11"/>
      <c r="D10" s="11"/>
      <c r="E10" s="11"/>
    </row>
    <row r="11" spans="1:5">
      <c r="A11" s="7" t="s">
        <v>117</v>
      </c>
      <c r="B11" s="3" t="s">
        <v>118</v>
      </c>
      <c r="C11" s="3" t="s">
        <v>119</v>
      </c>
      <c r="D11" s="3" t="s">
        <v>120</v>
      </c>
      <c r="E11" s="4" t="s">
        <v>121</v>
      </c>
    </row>
    <row r="12" spans="1:5">
      <c r="A12" s="5" t="s">
        <v>122</v>
      </c>
      <c r="B12" s="11">
        <f>0.1*AVERAGE('Energy arbitrage'!C21:C24)/10</f>
        <v>1724.0506792157976</v>
      </c>
      <c r="C12" s="11">
        <f>0.3*AVERAGE('Energy arbitrage'!C21:C24)/10</f>
        <v>5172.1520376473927</v>
      </c>
      <c r="D12" s="11">
        <f>0.5*AVERAGE('Energy arbitrage'!C21:C24)/10</f>
        <v>8620.2533960789879</v>
      </c>
      <c r="E12" s="12">
        <f>AVERAGE('Energy arbitrage'!C21:C24)/10</f>
        <v>17240.506792157976</v>
      </c>
    </row>
    <row r="13" spans="1:5">
      <c r="A13" s="5" t="s">
        <v>123</v>
      </c>
      <c r="B13" s="11">
        <f>0.1*AVERAGE('Energy arbitrage'!C45:C48)/10</f>
        <v>2548.2882616347001</v>
      </c>
      <c r="C13" s="11">
        <f>0.3*AVERAGE('Energy arbitrage'!C45:C48)/10</f>
        <v>7644.864784904099</v>
      </c>
      <c r="D13" s="11">
        <f>0.5*AVERAGE('Energy arbitrage'!C45:C48)/10</f>
        <v>12741.4413081735</v>
      </c>
      <c r="E13" s="12">
        <f>AVERAGE('Energy arbitrage'!C45:C48)/10</f>
        <v>25482.882616347</v>
      </c>
    </row>
    <row r="14" spans="1:5">
      <c r="A14" s="5" t="s">
        <v>124</v>
      </c>
      <c r="B14" s="11">
        <f>0.1*AVERAGE('Energy arbitrage'!C33:C36)/10</f>
        <v>2588.3989526461505</v>
      </c>
      <c r="C14" s="11">
        <f>0.3*AVERAGE('Energy arbitrage'!C33:C36)/10</f>
        <v>7765.1968579384502</v>
      </c>
      <c r="D14" s="11">
        <f>0.5*AVERAGE('Energy arbitrage'!C33:C36)/10</f>
        <v>12941.99476323075</v>
      </c>
      <c r="E14" s="12">
        <f>AVERAGE('Energy arbitrage'!C33:C36)/10</f>
        <v>25883.989526461501</v>
      </c>
    </row>
    <row r="15" spans="1:5">
      <c r="A15" s="6" t="s">
        <v>30</v>
      </c>
      <c r="B15" s="13">
        <f>0.1*AVERAGE('Energy arbitrage'!C9:C12)/10</f>
        <v>1905.6558528823255</v>
      </c>
      <c r="C15" s="13">
        <f>0.3*AVERAGE('Energy arbitrage'!C9:C12)/10</f>
        <v>5716.9675586469766</v>
      </c>
      <c r="D15" s="13">
        <f>0.5*AVERAGE('Energy arbitrage'!C9:C12)/10</f>
        <v>9528.2792644116271</v>
      </c>
      <c r="E15" s="14">
        <f>AVERAGE('Energy arbitrage'!C9:C12)/10</f>
        <v>19056.558528823254</v>
      </c>
    </row>
    <row r="16" spans="1:5">
      <c r="B16" s="11"/>
      <c r="C16" s="11"/>
      <c r="D16" s="11"/>
      <c r="E16" s="11"/>
    </row>
    <row r="17" spans="1:5" ht="15.6">
      <c r="A17" s="47" t="s">
        <v>113</v>
      </c>
      <c r="B17" s="11"/>
      <c r="C17" s="11"/>
      <c r="D17" s="11"/>
      <c r="E17" s="11"/>
    </row>
    <row r="18" spans="1:5">
      <c r="A18" s="7" t="s">
        <v>117</v>
      </c>
      <c r="B18" s="3" t="s">
        <v>118</v>
      </c>
      <c r="C18" s="3" t="s">
        <v>119</v>
      </c>
      <c r="D18" s="3" t="s">
        <v>120</v>
      </c>
      <c r="E18" s="4" t="s">
        <v>121</v>
      </c>
    </row>
    <row r="19" spans="1:5">
      <c r="A19" s="5" t="s">
        <v>122</v>
      </c>
      <c r="B19" s="11">
        <f>0.1*AVERAGE('Energy arbitrage'!D21:D24)/10</f>
        <v>1974.8021606060897</v>
      </c>
      <c r="C19" s="11">
        <f>0.3*AVERAGE('Energy arbitrage'!D21:D24)/10</f>
        <v>5924.4064818182687</v>
      </c>
      <c r="D19" s="11">
        <f>0.5*AVERAGE('Energy arbitrage'!D21:D24)/10</f>
        <v>9874.0108030304491</v>
      </c>
      <c r="E19" s="12">
        <f>AVERAGE('Energy arbitrage'!D21:D24)/10</f>
        <v>19748.021606060898</v>
      </c>
    </row>
    <row r="20" spans="1:5">
      <c r="A20" s="5" t="s">
        <v>123</v>
      </c>
      <c r="B20" s="11">
        <f>0.1*AVERAGE('Energy arbitrage'!D45:D48)/10</f>
        <v>2069.0041646683703</v>
      </c>
      <c r="C20" s="11">
        <f>0.3*AVERAGE('Energy arbitrage'!D45:D48)/10</f>
        <v>6207.0124940051091</v>
      </c>
      <c r="D20" s="11">
        <f>0.5*AVERAGE('Energy arbitrage'!D45:D48)/10</f>
        <v>10345.020823341849</v>
      </c>
      <c r="E20" s="12">
        <f>AVERAGE('Energy arbitrage'!D45:D48)/10</f>
        <v>20690.041646683698</v>
      </c>
    </row>
    <row r="21" spans="1:5">
      <c r="A21" s="5" t="s">
        <v>124</v>
      </c>
      <c r="B21" s="11">
        <f>0.1*AVERAGE('Energy arbitrage'!D33:D36)/10</f>
        <v>1910.84489174291</v>
      </c>
      <c r="C21" s="11">
        <f>0.3*AVERAGE('Energy arbitrage'!D33:D36)/10</f>
        <v>5732.5346752287296</v>
      </c>
      <c r="D21" s="11">
        <f>0.5*AVERAGE('Energy arbitrage'!D33:D36)/10</f>
        <v>9554.2244587145506</v>
      </c>
      <c r="E21" s="12">
        <f>AVERAGE('Energy arbitrage'!D33:D36)/10</f>
        <v>19108.448917429101</v>
      </c>
    </row>
    <row r="22" spans="1:5">
      <c r="A22" s="6" t="s">
        <v>30</v>
      </c>
      <c r="B22" s="13">
        <f>0.1*AVERAGE('Energy arbitrage'!D9:D12)/10</f>
        <v>2364.9975664566327</v>
      </c>
      <c r="C22" s="13">
        <f>0.3*AVERAGE('Energy arbitrage'!D9:D12)/10</f>
        <v>7094.9926993698973</v>
      </c>
      <c r="D22" s="13">
        <f>0.5*AVERAGE('Energy arbitrage'!D9:D12)/10</f>
        <v>11824.987832283161</v>
      </c>
      <c r="E22" s="14">
        <f>AVERAGE('Energy arbitrage'!D9:D12)/10</f>
        <v>23649.975664566322</v>
      </c>
    </row>
    <row r="23" spans="1:5">
      <c r="B23" s="11"/>
      <c r="C23" s="11"/>
      <c r="D23" s="11"/>
      <c r="E23" s="11"/>
    </row>
    <row r="24" spans="1:5" ht="15.6">
      <c r="A24" s="47" t="s">
        <v>114</v>
      </c>
      <c r="B24" s="11"/>
      <c r="C24" s="11"/>
      <c r="D24" s="11"/>
      <c r="E24" s="11"/>
    </row>
    <row r="25" spans="1:5">
      <c r="A25" s="7" t="s">
        <v>117</v>
      </c>
      <c r="B25" s="3" t="s">
        <v>118</v>
      </c>
      <c r="C25" s="3" t="s">
        <v>119</v>
      </c>
      <c r="D25" s="3" t="s">
        <v>120</v>
      </c>
      <c r="E25" s="4" t="s">
        <v>121</v>
      </c>
    </row>
    <row r="26" spans="1:5">
      <c r="A26" s="5" t="s">
        <v>122</v>
      </c>
      <c r="B26" s="11">
        <f>0.1*AVERAGE('Energy arbitrage'!E21:E24)/5</f>
        <v>2354.7642968022892</v>
      </c>
      <c r="C26" s="11">
        <f>0.3*AVERAGE('Energy arbitrage'!E21:E24)/5</f>
        <v>7064.2928904068667</v>
      </c>
      <c r="D26" s="11">
        <f>0.5*AVERAGE('Energy arbitrage'!E21:E24)/5</f>
        <v>11773.821484011447</v>
      </c>
      <c r="E26" s="12">
        <f>AVERAGE('Energy arbitrage'!E21:E24)/5</f>
        <v>23547.642968022894</v>
      </c>
    </row>
    <row r="27" spans="1:5">
      <c r="A27" s="5" t="s">
        <v>123</v>
      </c>
      <c r="B27" s="11">
        <f>0.1*AVERAGE('Energy arbitrage'!E45:E48)/5</f>
        <v>2717.7393483958849</v>
      </c>
      <c r="C27" s="11">
        <f>0.3*AVERAGE('Energy arbitrage'!E45:E48)/5</f>
        <v>8153.2180451876538</v>
      </c>
      <c r="D27" s="11">
        <f>0.5*AVERAGE('Energy arbitrage'!E45:E48)/5</f>
        <v>13588.696741979424</v>
      </c>
      <c r="E27" s="12">
        <f>AVERAGE('Energy arbitrage'!E45:E48)/5</f>
        <v>27177.393483958847</v>
      </c>
    </row>
    <row r="28" spans="1:5">
      <c r="A28" s="5" t="s">
        <v>124</v>
      </c>
      <c r="B28" s="11">
        <f>0.1*AVERAGE('Energy arbitrage'!E33:E36)/5</f>
        <v>3358.4749598800299</v>
      </c>
      <c r="C28" s="11">
        <f>0.3*AVERAGE('Energy arbitrage'!E33:E36)/5</f>
        <v>10075.42487964009</v>
      </c>
      <c r="D28" s="11">
        <f>0.5*AVERAGE('Energy arbitrage'!E33:E36)/5</f>
        <v>16792.37479940015</v>
      </c>
      <c r="E28" s="12">
        <f>AVERAGE('Energy arbitrage'!E33:E36)/5</f>
        <v>33584.749598800299</v>
      </c>
    </row>
    <row r="29" spans="1:5">
      <c r="A29" s="6" t="s">
        <v>30</v>
      </c>
      <c r="B29" s="13">
        <f>0.1*AVERAGE('Energy arbitrage'!E9:E12)/5</f>
        <v>3154.4287124573193</v>
      </c>
      <c r="C29" s="13">
        <f>0.3*AVERAGE('Energy arbitrage'!E9:E12)/5</f>
        <v>9463.2861373719588</v>
      </c>
      <c r="D29" s="13">
        <f>0.5*AVERAGE('Energy arbitrage'!E9:E12)/5</f>
        <v>15772.143562286597</v>
      </c>
      <c r="E29" s="14">
        <f>AVERAGE('Energy arbitrage'!E9:E12)/5</f>
        <v>31544.287124573195</v>
      </c>
    </row>
    <row r="30" spans="1:5">
      <c r="B30" s="11"/>
      <c r="C30" s="11"/>
      <c r="D30" s="11"/>
      <c r="E30" s="11"/>
    </row>
    <row r="31" spans="1:5" s="17" customFormat="1" ht="18.600000000000001">
      <c r="A31" s="21" t="s">
        <v>125</v>
      </c>
      <c r="B31" s="18"/>
      <c r="C31" s="18"/>
      <c r="D31" s="18"/>
      <c r="E31" s="18"/>
    </row>
    <row r="32" spans="1:5">
      <c r="A32" s="7" t="s">
        <v>126</v>
      </c>
      <c r="B32" s="3" t="s">
        <v>127</v>
      </c>
      <c r="C32" s="3" t="s">
        <v>128</v>
      </c>
      <c r="D32" s="3" t="s">
        <v>129</v>
      </c>
      <c r="E32" s="4" t="s">
        <v>130</v>
      </c>
    </row>
    <row r="33" spans="1:5">
      <c r="A33" s="5" t="s">
        <v>122</v>
      </c>
      <c r="B33" s="11">
        <f>AVERAGE(FCAS!G11:I11)*0.1</f>
        <v>31245.116666666669</v>
      </c>
      <c r="C33" s="11">
        <f>AVERAGE(FCAS!G11:I11)*0.3</f>
        <v>93735.35</v>
      </c>
      <c r="D33" s="11">
        <f>AVERAGE(FCAS!G11:I11)*0.5</f>
        <v>156225.58333333334</v>
      </c>
      <c r="E33" s="12">
        <f>AVERAGE(FCAS!G11:I11)</f>
        <v>312451.16666666669</v>
      </c>
    </row>
    <row r="34" spans="1:5">
      <c r="A34" s="5" t="s">
        <v>123</v>
      </c>
      <c r="B34" s="11">
        <f>AVERAGE(FCAS!G12:I12)*0.1</f>
        <v>34607.916666666672</v>
      </c>
      <c r="C34" s="11">
        <f>AVERAGE(FCAS!G12:I12)*0.3</f>
        <v>103823.75</v>
      </c>
      <c r="D34" s="11">
        <f>AVERAGE(FCAS!G12:I12)*0.5</f>
        <v>173039.58333333334</v>
      </c>
      <c r="E34" s="12">
        <f>AVERAGE(FCAS!G12:I12)</f>
        <v>346079.16666666669</v>
      </c>
    </row>
    <row r="35" spans="1:5">
      <c r="A35" s="5" t="s">
        <v>124</v>
      </c>
      <c r="B35" s="11">
        <f>AVERAGE(FCAS!G13:I13)*0.1</f>
        <v>48543.8</v>
      </c>
      <c r="C35" s="11">
        <f>AVERAGE(FCAS!G13:I13)*0.3</f>
        <v>145631.4</v>
      </c>
      <c r="D35" s="11">
        <f>AVERAGE(FCAS!G13:I13)*0.5</f>
        <v>242719</v>
      </c>
      <c r="E35" s="12">
        <f>AVERAGE(FCAS!G13:I13)</f>
        <v>485438</v>
      </c>
    </row>
    <row r="36" spans="1:5">
      <c r="A36" s="6" t="s">
        <v>30</v>
      </c>
      <c r="B36" s="13">
        <f>AVERAGE(FCAS!G14:I14)*0.1</f>
        <v>29752.366666666669</v>
      </c>
      <c r="C36" s="13">
        <f>AVERAGE(FCAS!G14:I14)*0.3</f>
        <v>89257.1</v>
      </c>
      <c r="D36" s="13">
        <f>AVERAGE(FCAS!G14:I14)*0.5</f>
        <v>148761.83333333334</v>
      </c>
      <c r="E36" s="14">
        <f>AVERAGE(FCAS!G14:I14)</f>
        <v>297523.66666666669</v>
      </c>
    </row>
    <row r="38" spans="1:5" s="17" customFormat="1" ht="18.600000000000001">
      <c r="A38" s="21" t="s">
        <v>131</v>
      </c>
    </row>
    <row r="39" spans="1:5">
      <c r="A39" s="7" t="s">
        <v>132</v>
      </c>
      <c r="B39" s="3" t="s">
        <v>127</v>
      </c>
      <c r="C39" s="3" t="s">
        <v>128</v>
      </c>
      <c r="D39" s="3" t="s">
        <v>129</v>
      </c>
      <c r="E39" s="4" t="s">
        <v>130</v>
      </c>
    </row>
    <row r="40" spans="1:5">
      <c r="A40" s="5" t="s">
        <v>122</v>
      </c>
      <c r="B40" s="24">
        <f>AVERAGE('Cap contract'!B8:B10)</f>
        <v>7433.1641864801786</v>
      </c>
      <c r="C40" s="24">
        <f>B40*3</f>
        <v>22299.492559440536</v>
      </c>
      <c r="D40" s="24">
        <f>B40*5</f>
        <v>37165.820932400893</v>
      </c>
      <c r="E40" s="25">
        <f>B40*10</f>
        <v>74331.641864801786</v>
      </c>
    </row>
    <row r="41" spans="1:5">
      <c r="A41" s="5" t="s">
        <v>123</v>
      </c>
      <c r="B41" s="24">
        <f>AVERAGE('Cap contract'!E8:E10)</f>
        <v>4163.6790862470825</v>
      </c>
      <c r="C41" s="24">
        <f t="shared" ref="C41:C43" si="0">B41*3</f>
        <v>12491.037258741248</v>
      </c>
      <c r="D41" s="24">
        <f t="shared" ref="D41:D42" si="1">B41*5</f>
        <v>20818.395431235411</v>
      </c>
      <c r="E41" s="25">
        <f t="shared" ref="E41:E43" si="2">B41*10</f>
        <v>41636.790862470822</v>
      </c>
    </row>
    <row r="42" spans="1:5">
      <c r="A42" s="5" t="s">
        <v>124</v>
      </c>
      <c r="B42" s="24">
        <f>AVERAGE('Cap contract'!C8:C10)</f>
        <v>14515.885128205089</v>
      </c>
      <c r="C42" s="24">
        <f t="shared" si="0"/>
        <v>43547.655384615267</v>
      </c>
      <c r="D42" s="24">
        <f t="shared" si="1"/>
        <v>72579.425641025446</v>
      </c>
      <c r="E42" s="25">
        <f t="shared" si="2"/>
        <v>145158.85128205089</v>
      </c>
    </row>
    <row r="43" spans="1:5">
      <c r="A43" s="6" t="s">
        <v>30</v>
      </c>
      <c r="B43" s="26">
        <f>AVERAGE('Cap contract'!D8:D10)</f>
        <v>12198.336498834478</v>
      </c>
      <c r="C43" s="26">
        <f t="shared" si="0"/>
        <v>36595.009496503437</v>
      </c>
      <c r="D43" s="26">
        <f>B43*5</f>
        <v>60991.68249417239</v>
      </c>
      <c r="E43" s="27">
        <f t="shared" si="2"/>
        <v>121983.36498834478</v>
      </c>
    </row>
    <row r="45" spans="1:5" s="17" customFormat="1" ht="18.600000000000001">
      <c r="A45" s="21" t="s">
        <v>133</v>
      </c>
    </row>
    <row r="46" spans="1:5">
      <c r="A46" t="s">
        <v>134</v>
      </c>
    </row>
    <row r="49" spans="1:1" s="17" customFormat="1" ht="18.600000000000001">
      <c r="A49" s="21" t="s">
        <v>135</v>
      </c>
    </row>
    <row r="50" spans="1:1">
      <c r="A50" t="s">
        <v>134</v>
      </c>
    </row>
    <row r="53" spans="1:1" s="17" customFormat="1" ht="18.600000000000001">
      <c r="A53" s="21" t="s">
        <v>136</v>
      </c>
    </row>
    <row r="54" spans="1:1">
      <c r="A54" t="s">
        <v>134</v>
      </c>
    </row>
    <row r="56" spans="1:1" s="17" customFormat="1" ht="18.600000000000001">
      <c r="A56" s="21" t="s">
        <v>137</v>
      </c>
    </row>
    <row r="57" spans="1:1">
      <c r="A57" t="s">
        <v>32</v>
      </c>
    </row>
    <row r="58" spans="1:1">
      <c r="A58" t="s">
        <v>138</v>
      </c>
    </row>
    <row r="59" spans="1:1">
      <c r="A59" t="s">
        <v>139</v>
      </c>
    </row>
    <row r="60" spans="1:1">
      <c r="A60" t="s">
        <v>140</v>
      </c>
    </row>
    <row r="61" spans="1:1">
      <c r="A61" t="s">
        <v>141</v>
      </c>
    </row>
  </sheetData>
  <conditionalFormatting sqref="B5:E29">
    <cfRule type="cellIs" dxfId="4"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F552-A3F3-47E3-B0A9-CACFB2D3782A}">
  <dimension ref="A1:Q89"/>
  <sheetViews>
    <sheetView topLeftCell="A57" workbookViewId="0">
      <selection activeCell="A4" sqref="A4:C8"/>
    </sheetView>
  </sheetViews>
  <sheetFormatPr defaultRowHeight="14.45"/>
  <cols>
    <col min="1" max="1" width="17" customWidth="1"/>
    <col min="2" max="5" width="14.7109375" customWidth="1"/>
    <col min="6" max="17" width="11.140625" customWidth="1"/>
  </cols>
  <sheetData>
    <row r="1" spans="1:5" ht="21">
      <c r="A1" s="16" t="s">
        <v>131</v>
      </c>
    </row>
    <row r="2" spans="1:5" s="17" customFormat="1" ht="18.600000000000001">
      <c r="A2" s="21" t="s">
        <v>142</v>
      </c>
    </row>
    <row r="3" spans="1:5">
      <c r="A3" s="2"/>
      <c r="B3" s="43" t="s">
        <v>122</v>
      </c>
      <c r="C3" s="43" t="s">
        <v>124</v>
      </c>
      <c r="D3" s="43" t="s">
        <v>30</v>
      </c>
      <c r="E3" s="43" t="s">
        <v>123</v>
      </c>
    </row>
    <row r="4" spans="1:5">
      <c r="A4">
        <v>2014</v>
      </c>
      <c r="B4" s="23">
        <f>SUM(E25:E28)</f>
        <v>2147.4552727272712</v>
      </c>
      <c r="C4" s="23">
        <f>SUM(I25:I28)</f>
        <v>6348.9599999999937</v>
      </c>
      <c r="D4" s="23">
        <f>SUM(M25:M28)</f>
        <v>2820.56123076923</v>
      </c>
      <c r="E4" s="23">
        <f>SUM(Q25:Q28)</f>
        <v>7630.645034965024</v>
      </c>
    </row>
    <row r="5" spans="1:5">
      <c r="A5">
        <f t="shared" ref="A5:A11" si="0">A4+1</f>
        <v>2015</v>
      </c>
      <c r="B5" s="23">
        <f>SUM(E29:E32)</f>
        <v>3236.306153846152</v>
      </c>
      <c r="C5" s="23">
        <f>SUM(I29:I32)</f>
        <v>11357.679999999991</v>
      </c>
      <c r="D5" s="23">
        <f>SUM(M29:M32)</f>
        <v>2958.1461538461531</v>
      </c>
      <c r="E5" s="23">
        <f>SUM(Q29:Q32)</f>
        <v>13141.373076923071</v>
      </c>
    </row>
    <row r="6" spans="1:5">
      <c r="A6">
        <f t="shared" si="0"/>
        <v>2016</v>
      </c>
      <c r="B6" s="23">
        <f>SUM(E33:E36)</f>
        <v>6823.565670329659</v>
      </c>
      <c r="C6" s="23">
        <f>SUM(I33:I36)</f>
        <v>27398.884615384603</v>
      </c>
      <c r="D6" s="23">
        <f>SUM(M33:M36)</f>
        <v>4082.351208791205</v>
      </c>
      <c r="E6" s="23">
        <f>SUM(Q33:Q36)</f>
        <v>13208.590285714281</v>
      </c>
    </row>
    <row r="7" spans="1:5">
      <c r="A7">
        <f t="shared" si="0"/>
        <v>2017</v>
      </c>
      <c r="B7" s="23">
        <f>SUM(E37:E40)</f>
        <v>10246.343384615371</v>
      </c>
      <c r="C7" s="23">
        <f>SUM(F37:F40)</f>
        <v>2385</v>
      </c>
      <c r="D7" s="23">
        <f>SUM(M37:M40)</f>
        <v>14780.096461538449</v>
      </c>
      <c r="E7" s="23">
        <f>SUM(Q37:Q40)</f>
        <v>10510.692461538449</v>
      </c>
    </row>
    <row r="8" spans="1:5">
      <c r="A8">
        <f t="shared" si="0"/>
        <v>2018</v>
      </c>
      <c r="B8" s="23">
        <f>SUM(E41:E44)</f>
        <v>7717.4614825174758</v>
      </c>
      <c r="C8" s="23">
        <f>SUM(I41:I44)</f>
        <v>16260.55569230768</v>
      </c>
      <c r="D8" s="23">
        <f>SUM(M41:M44)</f>
        <v>10730.480727272716</v>
      </c>
      <c r="E8" s="23">
        <f>SUM(Q41:Q44)</f>
        <v>4799.4852587412497</v>
      </c>
    </row>
    <row r="9" spans="1:5">
      <c r="A9">
        <f t="shared" si="0"/>
        <v>2019</v>
      </c>
      <c r="B9" s="23">
        <f>SUM(E45:E48)</f>
        <v>6841.041538461528</v>
      </c>
      <c r="C9" s="23">
        <f>SUM(I45:I48)</f>
        <v>16653.900923076824</v>
      </c>
      <c r="D9" s="23">
        <f>SUM(M45:M48)</f>
        <v>16125.618769230721</v>
      </c>
      <c r="E9" s="23">
        <f>SUM(Q45:Q48)</f>
        <v>3992.435846153845</v>
      </c>
    </row>
    <row r="10" spans="1:5">
      <c r="A10">
        <f t="shared" si="0"/>
        <v>2020</v>
      </c>
      <c r="B10" s="23">
        <f>SUM(E49:E52)</f>
        <v>7740.9895384615338</v>
      </c>
      <c r="C10" s="23">
        <f>SUM(I49:I52)</f>
        <v>10633.198769230761</v>
      </c>
      <c r="D10" s="23">
        <f>SUM(M49:M52)</f>
        <v>9738.91</v>
      </c>
      <c r="E10" s="23">
        <f>SUM(Q49:Q52)</f>
        <v>3699.1161538461529</v>
      </c>
    </row>
    <row r="11" spans="1:5" hidden="1">
      <c r="A11">
        <f t="shared" si="0"/>
        <v>2021</v>
      </c>
      <c r="B11" s="23">
        <v>-2244.3669615384601</v>
      </c>
      <c r="C11" s="23">
        <v>7365.2102692307599</v>
      </c>
      <c r="D11" s="23">
        <v>3069.4225000000001</v>
      </c>
      <c r="E11" s="23">
        <v>2462.26965384615</v>
      </c>
    </row>
    <row r="13" spans="1:5" s="17" customFormat="1" ht="18.600000000000001">
      <c r="A13" s="21" t="s">
        <v>143</v>
      </c>
    </row>
    <row r="14" spans="1:5">
      <c r="A14" s="2"/>
      <c r="B14" s="43" t="s">
        <v>122</v>
      </c>
      <c r="C14" s="43" t="s">
        <v>124</v>
      </c>
      <c r="D14" s="43" t="s">
        <v>30</v>
      </c>
      <c r="E14" s="43" t="s">
        <v>123</v>
      </c>
    </row>
    <row r="15" spans="1:5">
      <c r="A15">
        <v>2014</v>
      </c>
      <c r="B15" s="23">
        <f>SUM(E59:E62)</f>
        <v>809.29790209789996</v>
      </c>
      <c r="C15" s="23">
        <f>SUM(I59:I62)</f>
        <v>5464.0276923076808</v>
      </c>
      <c r="D15" s="23">
        <f>SUM(M59:M62)</f>
        <v>2398.2008951048897</v>
      </c>
      <c r="E15" s="23">
        <f>SUM(Q59:Q62)</f>
        <v>6098.3586013985823</v>
      </c>
    </row>
    <row r="16" spans="1:5">
      <c r="A16">
        <f t="shared" ref="A16:A21" si="1">A15+1</f>
        <v>2015</v>
      </c>
      <c r="B16" s="23">
        <f>SUM(E63:E66)</f>
        <v>1883.0892307692288</v>
      </c>
      <c r="C16" s="23">
        <f>SUM(I63:I66)</f>
        <v>9022.4104615384495</v>
      </c>
      <c r="D16" s="23">
        <f>SUM(M63:M66)</f>
        <v>1138.0523076923077</v>
      </c>
      <c r="E16" s="23">
        <f>SUM(Q63:Q66)</f>
        <v>12989.058461538441</v>
      </c>
    </row>
    <row r="17" spans="1:17">
      <c r="A17">
        <f t="shared" si="1"/>
        <v>2016</v>
      </c>
      <c r="B17" s="23">
        <f>SUM(E67:E70)</f>
        <v>3345.2607032966971</v>
      </c>
      <c r="C17" s="23">
        <f>SUM(I67:I70)</f>
        <v>21441.735164835147</v>
      </c>
      <c r="D17" s="23">
        <f>SUM(M67:M70)</f>
        <v>2876.5203956043952</v>
      </c>
      <c r="E17" s="23">
        <f>SUM(Q67:Q70)</f>
        <v>8421.4668131868075</v>
      </c>
    </row>
    <row r="18" spans="1:17">
      <c r="A18">
        <f t="shared" si="1"/>
        <v>2017</v>
      </c>
      <c r="B18" s="23">
        <f>SUM(E71:E74)</f>
        <v>6217.1269230769212</v>
      </c>
      <c r="C18" s="23">
        <f>SUM(I71:I74)</f>
        <v>16409.457230769211</v>
      </c>
      <c r="D18" s="23">
        <f>SUM(M71:M74)</f>
        <v>3130.6199999999949</v>
      </c>
      <c r="E18" s="23">
        <f>SUM(Q71:Q74)</f>
        <v>17520.865384615368</v>
      </c>
    </row>
    <row r="19" spans="1:17">
      <c r="A19">
        <f t="shared" si="1"/>
        <v>2018</v>
      </c>
      <c r="B19" s="23">
        <f>SUM(E75:E78)</f>
        <v>2978.3958041957962</v>
      </c>
      <c r="C19" s="23">
        <f>SUM(I75:I78)</f>
        <v>14009.069538461521</v>
      </c>
      <c r="D19" s="23">
        <f>SUM(M75:M78)</f>
        <v>7349.3949650349614</v>
      </c>
      <c r="E19" s="23">
        <f>SUM(Q75:Q78)</f>
        <v>1800.052867132865</v>
      </c>
    </row>
    <row r="20" spans="1:17">
      <c r="A20">
        <f t="shared" si="1"/>
        <v>2019</v>
      </c>
      <c r="B20" s="23">
        <f>SUM(E79:E82)</f>
        <v>3656.9064615384559</v>
      </c>
      <c r="C20" s="23">
        <f>SUM(I79:I82)</f>
        <v>14893.731692307634</v>
      </c>
      <c r="D20" s="23">
        <f>SUM(M79:M82)</f>
        <v>14054.471538461448</v>
      </c>
      <c r="E20" s="23">
        <f>SUM(Q79:Q82)</f>
        <v>1763.8559999999991</v>
      </c>
    </row>
    <row r="21" spans="1:17">
      <c r="A21">
        <f t="shared" si="1"/>
        <v>2020</v>
      </c>
      <c r="B21" s="23">
        <f>SUM(E83:E86)</f>
        <v>9480.7279999999973</v>
      </c>
      <c r="C21" s="23">
        <f>SUM(I83:I86)</f>
        <v>8895.6184615384554</v>
      </c>
      <c r="D21" s="23">
        <f>SUM(M83:M86)</f>
        <v>9303.7146153846043</v>
      </c>
      <c r="E21" s="23">
        <f>SUM(Q83:Q86)</f>
        <v>2782.0303076923042</v>
      </c>
    </row>
    <row r="23" spans="1:17" s="17" customFormat="1" ht="18.600000000000001">
      <c r="A23" s="21" t="s">
        <v>144</v>
      </c>
    </row>
    <row r="24" spans="1:17">
      <c r="A24" s="44"/>
      <c r="B24" s="2" t="s">
        <v>145</v>
      </c>
      <c r="C24" s="2" t="s">
        <v>146</v>
      </c>
      <c r="D24" s="2" t="s">
        <v>147</v>
      </c>
      <c r="E24" s="2" t="s">
        <v>148</v>
      </c>
      <c r="F24" s="2" t="s">
        <v>149</v>
      </c>
      <c r="G24" s="2" t="s">
        <v>150</v>
      </c>
      <c r="H24" s="2" t="s">
        <v>151</v>
      </c>
      <c r="I24" s="2" t="s">
        <v>152</v>
      </c>
      <c r="J24" s="2" t="s">
        <v>153</v>
      </c>
      <c r="K24" s="2" t="s">
        <v>154</v>
      </c>
      <c r="L24" s="2" t="s">
        <v>155</v>
      </c>
      <c r="M24" s="2" t="s">
        <v>156</v>
      </c>
      <c r="N24" s="2" t="s">
        <v>157</v>
      </c>
      <c r="O24" s="2" t="s">
        <v>158</v>
      </c>
      <c r="P24" s="2" t="s">
        <v>159</v>
      </c>
      <c r="Q24" s="2" t="s">
        <v>160</v>
      </c>
    </row>
    <row r="25" spans="1:17">
      <c r="A25" s="20" t="s">
        <v>161</v>
      </c>
      <c r="B25" s="23">
        <v>15</v>
      </c>
      <c r="C25" s="23">
        <v>0.53799999999999903</v>
      </c>
      <c r="D25" s="23">
        <v>321.50769230769203</v>
      </c>
      <c r="E25" s="23">
        <f t="shared" ref="E25:E55" si="2">B25+D25</f>
        <v>336.50769230769203</v>
      </c>
      <c r="F25" s="23">
        <v>720</v>
      </c>
      <c r="G25" s="23">
        <v>1533.634</v>
      </c>
      <c r="H25" s="23">
        <v>870.64615384615399</v>
      </c>
      <c r="I25" s="23">
        <f t="shared" ref="I25:I55" si="3">H25+F25</f>
        <v>1590.646153846154</v>
      </c>
      <c r="J25" s="23">
        <v>315</v>
      </c>
      <c r="K25" s="23">
        <v>1281.1220000000001</v>
      </c>
      <c r="L25" s="23">
        <v>231.78461538461499</v>
      </c>
      <c r="M25" s="23">
        <f t="shared" ref="M25:M55" si="4">L25+J25</f>
        <v>546.78461538461499</v>
      </c>
      <c r="N25" s="23">
        <v>540</v>
      </c>
      <c r="O25" s="23">
        <v>2599.2249999999999</v>
      </c>
      <c r="P25" s="23">
        <v>693.69230769230705</v>
      </c>
      <c r="Q25" s="23">
        <f t="shared" ref="Q25:Q55" si="5">N25+P25</f>
        <v>1233.6923076923072</v>
      </c>
    </row>
    <row r="26" spans="1:17">
      <c r="A26" s="20" t="s">
        <v>162</v>
      </c>
      <c r="B26" s="23">
        <v>15</v>
      </c>
      <c r="C26" s="23">
        <v>96.227000000000004</v>
      </c>
      <c r="D26" s="23">
        <v>320.05527272727198</v>
      </c>
      <c r="E26" s="23">
        <f t="shared" si="2"/>
        <v>335.05527272727198</v>
      </c>
      <c r="F26" s="23">
        <v>15</v>
      </c>
      <c r="G26" s="23">
        <v>96.840500000000006</v>
      </c>
      <c r="H26" s="23">
        <v>845.04</v>
      </c>
      <c r="I26" s="23">
        <f t="shared" si="3"/>
        <v>860.04</v>
      </c>
      <c r="J26" s="23">
        <v>0</v>
      </c>
      <c r="K26" s="23">
        <v>0</v>
      </c>
      <c r="L26" s="23">
        <v>181.27199999999999</v>
      </c>
      <c r="M26" s="23">
        <f t="shared" si="4"/>
        <v>181.27199999999999</v>
      </c>
      <c r="N26" s="23">
        <v>60</v>
      </c>
      <c r="O26" s="23">
        <v>271.82749999999999</v>
      </c>
      <c r="P26" s="23">
        <v>750.10472727272702</v>
      </c>
      <c r="Q26" s="23">
        <f t="shared" si="5"/>
        <v>810.10472727272702</v>
      </c>
    </row>
    <row r="27" spans="1:17">
      <c r="A27" s="20" t="s">
        <v>163</v>
      </c>
      <c r="B27" s="23">
        <v>0</v>
      </c>
      <c r="C27" s="23">
        <v>0</v>
      </c>
      <c r="D27" s="23">
        <v>439.05230769230701</v>
      </c>
      <c r="E27" s="23">
        <f t="shared" si="2"/>
        <v>439.05230769230701</v>
      </c>
      <c r="F27" s="23">
        <v>195</v>
      </c>
      <c r="G27" s="23">
        <v>1083.944</v>
      </c>
      <c r="H27" s="23">
        <v>1154.95384615384</v>
      </c>
      <c r="I27" s="23">
        <f t="shared" si="3"/>
        <v>1349.95384615384</v>
      </c>
      <c r="J27" s="23">
        <v>0</v>
      </c>
      <c r="K27" s="23">
        <v>0</v>
      </c>
      <c r="L27" s="23">
        <v>326.10461538461499</v>
      </c>
      <c r="M27" s="23">
        <f t="shared" si="4"/>
        <v>326.10461538461499</v>
      </c>
      <c r="N27" s="23">
        <v>15</v>
      </c>
      <c r="O27" s="23">
        <v>99.846000000000004</v>
      </c>
      <c r="P27" s="23">
        <v>1302.72</v>
      </c>
      <c r="Q27" s="23">
        <f t="shared" si="5"/>
        <v>1317.72</v>
      </c>
    </row>
    <row r="28" spans="1:17">
      <c r="A28" s="20" t="s">
        <v>164</v>
      </c>
      <c r="B28" s="23">
        <v>0</v>
      </c>
      <c r="C28" s="23">
        <v>0</v>
      </c>
      <c r="D28" s="23">
        <v>1036.8399999999999</v>
      </c>
      <c r="E28" s="23">
        <f t="shared" si="2"/>
        <v>1036.8399999999999</v>
      </c>
      <c r="F28" s="23">
        <v>45</v>
      </c>
      <c r="G28" s="23">
        <v>270.78149999999999</v>
      </c>
      <c r="H28" s="23">
        <v>2503.3200000000002</v>
      </c>
      <c r="I28" s="23">
        <f t="shared" si="3"/>
        <v>2548.3200000000002</v>
      </c>
      <c r="J28" s="23">
        <v>0</v>
      </c>
      <c r="K28" s="23">
        <v>0</v>
      </c>
      <c r="L28" s="23">
        <v>1766.4</v>
      </c>
      <c r="M28" s="23">
        <f t="shared" si="4"/>
        <v>1766.4</v>
      </c>
      <c r="N28" s="23">
        <v>540</v>
      </c>
      <c r="O28" s="23">
        <v>6104.0410000000002</v>
      </c>
      <c r="P28" s="23">
        <v>3729.1279999999902</v>
      </c>
      <c r="Q28" s="23">
        <f t="shared" si="5"/>
        <v>4269.1279999999897</v>
      </c>
    </row>
    <row r="29" spans="1:17">
      <c r="A29" s="20" t="s">
        <v>165</v>
      </c>
      <c r="B29" s="23">
        <v>0</v>
      </c>
      <c r="C29" s="23">
        <v>0</v>
      </c>
      <c r="D29" s="23">
        <v>332.30769230769198</v>
      </c>
      <c r="E29" s="23">
        <f t="shared" si="2"/>
        <v>332.30769230769198</v>
      </c>
      <c r="F29" s="23">
        <v>165</v>
      </c>
      <c r="G29" s="23">
        <v>749.04</v>
      </c>
      <c r="H29" s="23">
        <v>959.53846153846098</v>
      </c>
      <c r="I29" s="23">
        <f t="shared" si="3"/>
        <v>1124.538461538461</v>
      </c>
      <c r="J29" s="23">
        <v>0</v>
      </c>
      <c r="K29" s="23">
        <v>0</v>
      </c>
      <c r="L29" s="23">
        <v>256.70769230769201</v>
      </c>
      <c r="M29" s="23">
        <f t="shared" si="4"/>
        <v>256.70769230769201</v>
      </c>
      <c r="N29" s="23">
        <v>1035</v>
      </c>
      <c r="O29" s="23">
        <v>9780.3335000000006</v>
      </c>
      <c r="P29" s="23">
        <v>732.73846153846102</v>
      </c>
      <c r="Q29" s="23">
        <f t="shared" si="5"/>
        <v>1767.738461538461</v>
      </c>
    </row>
    <row r="30" spans="1:17">
      <c r="A30" s="20" t="s">
        <v>166</v>
      </c>
      <c r="B30" s="23">
        <v>15</v>
      </c>
      <c r="C30" s="23">
        <v>74.601500000000001</v>
      </c>
      <c r="D30" s="23">
        <v>456.81999999999903</v>
      </c>
      <c r="E30" s="23">
        <f t="shared" si="2"/>
        <v>471.81999999999903</v>
      </c>
      <c r="F30" s="23">
        <v>330</v>
      </c>
      <c r="G30" s="23">
        <v>1599.0885000000001</v>
      </c>
      <c r="H30" s="23">
        <v>1431.36</v>
      </c>
      <c r="I30" s="23">
        <f t="shared" si="3"/>
        <v>1761.36</v>
      </c>
      <c r="J30" s="23">
        <v>15</v>
      </c>
      <c r="K30" s="23">
        <v>10.272</v>
      </c>
      <c r="L30" s="23">
        <v>220.22</v>
      </c>
      <c r="M30" s="23">
        <f t="shared" si="4"/>
        <v>235.22</v>
      </c>
      <c r="N30" s="23">
        <v>0</v>
      </c>
      <c r="O30" s="23">
        <v>0</v>
      </c>
      <c r="P30" s="23">
        <v>683.41</v>
      </c>
      <c r="Q30" s="23">
        <f t="shared" si="5"/>
        <v>683.41</v>
      </c>
    </row>
    <row r="31" spans="1:17">
      <c r="A31" s="20" t="s">
        <v>167</v>
      </c>
      <c r="B31" s="23">
        <v>30</v>
      </c>
      <c r="C31" s="23">
        <v>976.86350000000004</v>
      </c>
      <c r="D31" s="23">
        <v>675.138461538461</v>
      </c>
      <c r="E31" s="23">
        <f t="shared" si="2"/>
        <v>705.138461538461</v>
      </c>
      <c r="F31" s="23">
        <v>375</v>
      </c>
      <c r="G31" s="23">
        <v>2307.0585000000001</v>
      </c>
      <c r="H31" s="23">
        <v>1897.18153846153</v>
      </c>
      <c r="I31" s="23">
        <f t="shared" si="3"/>
        <v>2272.1815384615302</v>
      </c>
      <c r="J31" s="23">
        <v>15</v>
      </c>
      <c r="K31" s="23">
        <v>93.625500000000002</v>
      </c>
      <c r="L31" s="23">
        <v>277.698461538461</v>
      </c>
      <c r="M31" s="23">
        <f t="shared" si="4"/>
        <v>292.698461538461</v>
      </c>
      <c r="N31" s="23">
        <v>120</v>
      </c>
      <c r="O31" s="23">
        <v>950.20799999999997</v>
      </c>
      <c r="P31" s="23">
        <v>3207.5446153846101</v>
      </c>
      <c r="Q31" s="23">
        <f t="shared" si="5"/>
        <v>3327.5446153846101</v>
      </c>
    </row>
    <row r="32" spans="1:17">
      <c r="A32" s="20" t="s">
        <v>168</v>
      </c>
      <c r="B32" s="23">
        <v>60</v>
      </c>
      <c r="C32" s="23">
        <v>355.23599999999999</v>
      </c>
      <c r="D32" s="23">
        <v>1667.04</v>
      </c>
      <c r="E32" s="23">
        <f t="shared" si="2"/>
        <v>1727.04</v>
      </c>
      <c r="F32" s="23">
        <v>675</v>
      </c>
      <c r="G32" s="23">
        <v>874.03250000000003</v>
      </c>
      <c r="H32" s="23">
        <v>5524.6</v>
      </c>
      <c r="I32" s="23">
        <f t="shared" si="3"/>
        <v>6199.6</v>
      </c>
      <c r="J32" s="23">
        <v>75</v>
      </c>
      <c r="K32" s="23">
        <v>69.5505</v>
      </c>
      <c r="L32" s="23">
        <v>2098.52</v>
      </c>
      <c r="M32" s="23">
        <f t="shared" si="4"/>
        <v>2173.52</v>
      </c>
      <c r="N32" s="23">
        <v>45</v>
      </c>
      <c r="O32" s="23">
        <v>312.68299999999999</v>
      </c>
      <c r="P32" s="23">
        <v>7317.68</v>
      </c>
      <c r="Q32" s="23">
        <f t="shared" si="5"/>
        <v>7362.68</v>
      </c>
    </row>
    <row r="33" spans="1:17">
      <c r="A33" s="20" t="s">
        <v>169</v>
      </c>
      <c r="B33" s="23">
        <v>45</v>
      </c>
      <c r="C33" s="23">
        <v>259.1705</v>
      </c>
      <c r="D33" s="23">
        <v>677.69999999999902</v>
      </c>
      <c r="E33" s="23">
        <f t="shared" si="2"/>
        <v>722.69999999999902</v>
      </c>
      <c r="F33" s="23">
        <v>240</v>
      </c>
      <c r="G33" s="23">
        <v>664.30949999999996</v>
      </c>
      <c r="H33" s="23">
        <v>3217.5</v>
      </c>
      <c r="I33" s="23">
        <f t="shared" si="3"/>
        <v>3457.5</v>
      </c>
      <c r="J33" s="23">
        <v>105</v>
      </c>
      <c r="K33" s="23">
        <v>1142.6005</v>
      </c>
      <c r="L33" s="23">
        <v>410.4</v>
      </c>
      <c r="M33" s="23">
        <f t="shared" si="4"/>
        <v>515.4</v>
      </c>
      <c r="N33" s="23">
        <v>1050</v>
      </c>
      <c r="O33" s="23">
        <v>5353.3239999999996</v>
      </c>
      <c r="P33" s="23">
        <v>1079.0999999999999</v>
      </c>
      <c r="Q33" s="23">
        <f t="shared" si="5"/>
        <v>2129.1</v>
      </c>
    </row>
    <row r="34" spans="1:17">
      <c r="A34" s="20" t="s">
        <v>170</v>
      </c>
      <c r="B34" s="23">
        <v>15</v>
      </c>
      <c r="C34" s="23">
        <v>6.6999999999998699E-2</v>
      </c>
      <c r="D34" s="23">
        <v>791.61599999999999</v>
      </c>
      <c r="E34" s="23">
        <f t="shared" si="2"/>
        <v>806.61599999999999</v>
      </c>
      <c r="F34" s="23">
        <v>1485</v>
      </c>
      <c r="G34" s="23">
        <v>1106.7550000000001</v>
      </c>
      <c r="H34" s="23">
        <v>3600.24</v>
      </c>
      <c r="I34" s="23">
        <f t="shared" si="3"/>
        <v>5085.24</v>
      </c>
      <c r="J34" s="23">
        <v>45</v>
      </c>
      <c r="K34" s="23">
        <v>0.55249999999999699</v>
      </c>
      <c r="L34" s="23">
        <v>525</v>
      </c>
      <c r="M34" s="23">
        <f t="shared" si="4"/>
        <v>570</v>
      </c>
      <c r="N34" s="23">
        <v>105</v>
      </c>
      <c r="O34" s="23">
        <v>104.0475</v>
      </c>
      <c r="P34" s="23">
        <v>1264.2</v>
      </c>
      <c r="Q34" s="23">
        <f t="shared" si="5"/>
        <v>1369.2</v>
      </c>
    </row>
    <row r="35" spans="1:17">
      <c r="A35" s="20" t="s">
        <v>171</v>
      </c>
      <c r="B35" s="23">
        <v>60</v>
      </c>
      <c r="C35" s="23">
        <v>0.86100000000000099</v>
      </c>
      <c r="D35" s="23">
        <v>2746.59428571428</v>
      </c>
      <c r="E35" s="23">
        <f t="shared" si="2"/>
        <v>2806.59428571428</v>
      </c>
      <c r="F35" s="23">
        <v>3660</v>
      </c>
      <c r="G35" s="23">
        <v>7692.4605000000001</v>
      </c>
      <c r="H35" s="23">
        <v>3670.8</v>
      </c>
      <c r="I35" s="23">
        <f t="shared" si="3"/>
        <v>7330.8</v>
      </c>
      <c r="J35" s="23">
        <v>120</v>
      </c>
      <c r="K35" s="23">
        <v>7.0815000000000001</v>
      </c>
      <c r="L35" s="23">
        <v>941.55428571428502</v>
      </c>
      <c r="M35" s="23">
        <f t="shared" si="4"/>
        <v>1061.554285714285</v>
      </c>
      <c r="N35" s="23">
        <v>15</v>
      </c>
      <c r="O35" s="23">
        <v>8.3109999999999999</v>
      </c>
      <c r="P35" s="23">
        <v>3017.07428571428</v>
      </c>
      <c r="Q35" s="23">
        <f t="shared" si="5"/>
        <v>3032.07428571428</v>
      </c>
    </row>
    <row r="36" spans="1:17">
      <c r="A36" s="20" t="s">
        <v>172</v>
      </c>
      <c r="B36" s="23">
        <v>120</v>
      </c>
      <c r="C36" s="23">
        <v>980.82849999999905</v>
      </c>
      <c r="D36" s="23">
        <v>2367.6553846153802</v>
      </c>
      <c r="E36" s="23">
        <f t="shared" si="2"/>
        <v>2487.6553846153802</v>
      </c>
      <c r="F36" s="23">
        <v>645</v>
      </c>
      <c r="G36" s="23">
        <v>3660.9569999999999</v>
      </c>
      <c r="H36" s="23">
        <v>10880.3446153846</v>
      </c>
      <c r="I36" s="23">
        <f t="shared" si="3"/>
        <v>11525.3446153846</v>
      </c>
      <c r="J36" s="23">
        <v>0</v>
      </c>
      <c r="K36" s="23">
        <v>0</v>
      </c>
      <c r="L36" s="23">
        <v>1935.3969230769201</v>
      </c>
      <c r="M36" s="23">
        <f t="shared" si="4"/>
        <v>1935.3969230769201</v>
      </c>
      <c r="N36" s="23">
        <v>105</v>
      </c>
      <c r="O36" s="23">
        <v>409.25450000000001</v>
      </c>
      <c r="P36" s="23">
        <v>6573.2160000000003</v>
      </c>
      <c r="Q36" s="23">
        <f t="shared" si="5"/>
        <v>6678.2160000000003</v>
      </c>
    </row>
    <row r="37" spans="1:17">
      <c r="A37" s="20" t="s">
        <v>173</v>
      </c>
      <c r="B37" s="23">
        <v>405</v>
      </c>
      <c r="C37" s="23">
        <v>4475.6854999999996</v>
      </c>
      <c r="D37" s="23">
        <v>2381.81538461538</v>
      </c>
      <c r="E37" s="23">
        <f t="shared" si="2"/>
        <v>2786.81538461538</v>
      </c>
      <c r="F37" s="23">
        <v>1695</v>
      </c>
      <c r="G37" s="23">
        <v>6504.6594999999998</v>
      </c>
      <c r="H37" s="23">
        <v>3356.3076923076901</v>
      </c>
      <c r="I37" s="23">
        <f t="shared" si="3"/>
        <v>5051.3076923076896</v>
      </c>
      <c r="J37" s="23">
        <v>120</v>
      </c>
      <c r="K37" s="23">
        <v>127.366</v>
      </c>
      <c r="L37" s="23">
        <v>1687.1261538461499</v>
      </c>
      <c r="M37" s="23">
        <f t="shared" si="4"/>
        <v>1807.1261538461499</v>
      </c>
      <c r="N37" s="23">
        <v>2520</v>
      </c>
      <c r="O37" s="23">
        <v>15132.304</v>
      </c>
      <c r="P37" s="23">
        <v>1687.2923076923</v>
      </c>
      <c r="Q37" s="23">
        <f t="shared" si="5"/>
        <v>4207.2923076922998</v>
      </c>
    </row>
    <row r="38" spans="1:17">
      <c r="A38" s="20" t="s">
        <v>174</v>
      </c>
      <c r="B38" s="23">
        <v>0</v>
      </c>
      <c r="C38" s="23">
        <v>0</v>
      </c>
      <c r="D38" s="23">
        <v>1777.048</v>
      </c>
      <c r="E38" s="23">
        <f t="shared" si="2"/>
        <v>1777.048</v>
      </c>
      <c r="F38" s="23">
        <v>150</v>
      </c>
      <c r="G38" s="23">
        <v>124.25149999999999</v>
      </c>
      <c r="H38" s="23">
        <v>3024</v>
      </c>
      <c r="I38" s="23">
        <f t="shared" si="3"/>
        <v>3174</v>
      </c>
      <c r="J38" s="23">
        <v>30</v>
      </c>
      <c r="K38" s="23">
        <v>3.9729999999999901</v>
      </c>
      <c r="L38" s="23">
        <v>1692.7819999999999</v>
      </c>
      <c r="M38" s="23">
        <f t="shared" si="4"/>
        <v>1722.7819999999999</v>
      </c>
      <c r="N38" s="23">
        <v>0</v>
      </c>
      <c r="O38" s="23">
        <v>0</v>
      </c>
      <c r="P38" s="23">
        <v>1197.3779999999999</v>
      </c>
      <c r="Q38" s="23">
        <f t="shared" si="5"/>
        <v>1197.3779999999999</v>
      </c>
    </row>
    <row r="39" spans="1:17">
      <c r="A39" s="20" t="s">
        <v>175</v>
      </c>
      <c r="B39" s="23">
        <v>30</v>
      </c>
      <c r="C39" s="23">
        <v>9.3000000000000693E-2</v>
      </c>
      <c r="D39" s="23">
        <v>1653.4523076923001</v>
      </c>
      <c r="E39" s="23">
        <f t="shared" si="2"/>
        <v>1683.4523076923001</v>
      </c>
      <c r="F39" s="23">
        <v>375</v>
      </c>
      <c r="G39" s="23">
        <v>254.2345</v>
      </c>
      <c r="H39" s="23">
        <v>4687.7538461538397</v>
      </c>
      <c r="I39" s="23">
        <f t="shared" si="3"/>
        <v>5062.7538461538397</v>
      </c>
      <c r="J39" s="23">
        <v>60</v>
      </c>
      <c r="K39" s="23">
        <v>0.56099999999999794</v>
      </c>
      <c r="L39" s="23">
        <v>2597.7969230769199</v>
      </c>
      <c r="M39" s="23">
        <f t="shared" si="4"/>
        <v>2657.7969230769199</v>
      </c>
      <c r="N39" s="23">
        <v>0</v>
      </c>
      <c r="O39" s="23">
        <v>0</v>
      </c>
      <c r="P39" s="23">
        <v>1239.8769230769201</v>
      </c>
      <c r="Q39" s="23">
        <f t="shared" si="5"/>
        <v>1239.8769230769201</v>
      </c>
    </row>
    <row r="40" spans="1:17">
      <c r="A40" s="20" t="s">
        <v>176</v>
      </c>
      <c r="B40" s="23">
        <v>0</v>
      </c>
      <c r="C40" s="23">
        <v>0</v>
      </c>
      <c r="D40" s="23">
        <v>3999.0276923076899</v>
      </c>
      <c r="E40" s="23">
        <f t="shared" si="2"/>
        <v>3999.0276923076899</v>
      </c>
      <c r="F40" s="23">
        <v>165</v>
      </c>
      <c r="G40" s="23">
        <v>104.5395</v>
      </c>
      <c r="H40" s="23">
        <v>10656.9969230769</v>
      </c>
      <c r="I40" s="23">
        <f t="shared" si="3"/>
        <v>10821.9969230769</v>
      </c>
      <c r="J40" s="23">
        <v>60</v>
      </c>
      <c r="K40" s="23">
        <v>60.6265</v>
      </c>
      <c r="L40" s="23">
        <v>8532.3913846153791</v>
      </c>
      <c r="M40" s="23">
        <f t="shared" si="4"/>
        <v>8592.3913846153791</v>
      </c>
      <c r="N40" s="23">
        <v>30</v>
      </c>
      <c r="O40" s="23">
        <v>24.454499999999999</v>
      </c>
      <c r="P40" s="23">
        <v>3836.1452307692298</v>
      </c>
      <c r="Q40" s="23">
        <f t="shared" si="5"/>
        <v>3866.1452307692298</v>
      </c>
    </row>
    <row r="41" spans="1:17">
      <c r="A41" s="20" t="s">
        <v>177</v>
      </c>
      <c r="B41" s="23">
        <v>0</v>
      </c>
      <c r="C41" s="23">
        <v>0</v>
      </c>
      <c r="D41" s="23">
        <v>909.16363636363599</v>
      </c>
      <c r="E41" s="23">
        <f t="shared" si="2"/>
        <v>909.16363636363599</v>
      </c>
      <c r="F41" s="23">
        <v>615</v>
      </c>
      <c r="G41" s="23">
        <v>5763.22</v>
      </c>
      <c r="H41" s="23">
        <v>1588.5969230769199</v>
      </c>
      <c r="I41" s="23">
        <f t="shared" si="3"/>
        <v>2203.5969230769197</v>
      </c>
      <c r="J41" s="23">
        <v>360</v>
      </c>
      <c r="K41" s="23">
        <v>4052.6149999999998</v>
      </c>
      <c r="L41" s="23">
        <v>676.47272727272696</v>
      </c>
      <c r="M41" s="23">
        <f t="shared" si="4"/>
        <v>1036.4727272727268</v>
      </c>
      <c r="N41" s="23">
        <v>60</v>
      </c>
      <c r="O41" s="23">
        <v>183.732</v>
      </c>
      <c r="P41" s="23">
        <v>480.69818181818101</v>
      </c>
      <c r="Q41" s="23">
        <f t="shared" si="5"/>
        <v>540.69818181818096</v>
      </c>
    </row>
    <row r="42" spans="1:17">
      <c r="A42" s="20" t="s">
        <v>178</v>
      </c>
      <c r="B42" s="23">
        <v>90</v>
      </c>
      <c r="C42" s="23">
        <v>537.04750000000001</v>
      </c>
      <c r="D42" s="23">
        <v>634.70399999999995</v>
      </c>
      <c r="E42" s="23">
        <f t="shared" si="2"/>
        <v>724.70399999999995</v>
      </c>
      <c r="F42" s="23">
        <v>585</v>
      </c>
      <c r="G42" s="23">
        <v>1179.7919999999999</v>
      </c>
      <c r="H42" s="23">
        <v>1113</v>
      </c>
      <c r="I42" s="23">
        <f t="shared" si="3"/>
        <v>1698</v>
      </c>
      <c r="J42" s="23">
        <v>90</v>
      </c>
      <c r="K42" s="23">
        <v>93.536000000000001</v>
      </c>
      <c r="L42" s="23">
        <v>451.08</v>
      </c>
      <c r="M42" s="23">
        <f t="shared" si="4"/>
        <v>541.07999999999993</v>
      </c>
      <c r="N42" s="23">
        <v>45</v>
      </c>
      <c r="O42" s="23">
        <v>245.14949999999999</v>
      </c>
      <c r="P42" s="23">
        <v>223.44</v>
      </c>
      <c r="Q42" s="23">
        <f t="shared" si="5"/>
        <v>268.44</v>
      </c>
    </row>
    <row r="43" spans="1:17">
      <c r="A43" s="20" t="s">
        <v>179</v>
      </c>
      <c r="B43" s="23">
        <v>0</v>
      </c>
      <c r="C43" s="23">
        <v>0</v>
      </c>
      <c r="D43" s="23">
        <v>1144.76307692307</v>
      </c>
      <c r="E43" s="23">
        <f t="shared" si="2"/>
        <v>1144.76307692307</v>
      </c>
      <c r="F43" s="23">
        <v>465</v>
      </c>
      <c r="G43" s="23">
        <v>1840.2339999999999</v>
      </c>
      <c r="H43" s="23">
        <v>1911.4486153846101</v>
      </c>
      <c r="I43" s="23">
        <f t="shared" si="3"/>
        <v>2376.4486153846101</v>
      </c>
      <c r="J43" s="23">
        <v>15</v>
      </c>
      <c r="K43" s="23">
        <v>0.44749999999999901</v>
      </c>
      <c r="L43" s="23">
        <v>1052.19692307692</v>
      </c>
      <c r="M43" s="23">
        <f t="shared" si="4"/>
        <v>1067.19692307692</v>
      </c>
      <c r="N43" s="23">
        <v>15</v>
      </c>
      <c r="O43" s="23">
        <v>0.88149999999999895</v>
      </c>
      <c r="P43" s="23">
        <v>744.605538461538</v>
      </c>
      <c r="Q43" s="23">
        <f t="shared" si="5"/>
        <v>759.605538461538</v>
      </c>
    </row>
    <row r="44" spans="1:17">
      <c r="A44" s="20" t="s">
        <v>180</v>
      </c>
      <c r="B44" s="23">
        <v>60</v>
      </c>
      <c r="C44" s="23">
        <v>0.68100000000000005</v>
      </c>
      <c r="D44" s="23">
        <v>4878.8307692307699</v>
      </c>
      <c r="E44" s="23">
        <f t="shared" si="2"/>
        <v>4938.8307692307699</v>
      </c>
      <c r="F44" s="23">
        <v>135</v>
      </c>
      <c r="G44" s="23">
        <v>204.142</v>
      </c>
      <c r="H44" s="23">
        <v>9847.5101538461495</v>
      </c>
      <c r="I44" s="23">
        <f t="shared" si="3"/>
        <v>9982.5101538461495</v>
      </c>
      <c r="J44" s="23">
        <v>105</v>
      </c>
      <c r="K44" s="23">
        <v>211.99449999999999</v>
      </c>
      <c r="L44" s="23">
        <v>7980.7310769230698</v>
      </c>
      <c r="M44" s="23">
        <f t="shared" si="4"/>
        <v>8085.7310769230698</v>
      </c>
      <c r="N44" s="23">
        <v>75</v>
      </c>
      <c r="O44" s="23">
        <v>117.378</v>
      </c>
      <c r="P44" s="23">
        <v>3155.7415384615301</v>
      </c>
      <c r="Q44" s="23">
        <f t="shared" si="5"/>
        <v>3230.7415384615301</v>
      </c>
    </row>
    <row r="45" spans="1:17">
      <c r="A45" s="20" t="s">
        <v>181</v>
      </c>
      <c r="B45" s="23">
        <v>210</v>
      </c>
      <c r="C45" s="23">
        <v>503.55399999999997</v>
      </c>
      <c r="D45" s="23">
        <v>898.06153846153802</v>
      </c>
      <c r="E45" s="23">
        <f t="shared" si="2"/>
        <v>1108.061538461538</v>
      </c>
      <c r="F45" s="23">
        <v>1305</v>
      </c>
      <c r="G45" s="23">
        <v>10672.7135</v>
      </c>
      <c r="H45" s="23">
        <v>967.84615384615302</v>
      </c>
      <c r="I45" s="23">
        <f t="shared" si="3"/>
        <v>2272.8461538461529</v>
      </c>
      <c r="J45" s="23">
        <v>870</v>
      </c>
      <c r="K45" s="23">
        <v>11076.169</v>
      </c>
      <c r="L45" s="23">
        <v>667.93846153846096</v>
      </c>
      <c r="M45" s="23">
        <f t="shared" si="4"/>
        <v>1537.9384615384611</v>
      </c>
      <c r="N45" s="23">
        <v>15</v>
      </c>
      <c r="O45" s="23">
        <v>0.60599999999999998</v>
      </c>
      <c r="P45" s="23">
        <v>398.76923076922998</v>
      </c>
      <c r="Q45" s="23">
        <f t="shared" si="5"/>
        <v>413.76923076922998</v>
      </c>
    </row>
    <row r="46" spans="1:17">
      <c r="A46" s="20" t="s">
        <v>182</v>
      </c>
      <c r="B46" s="23">
        <v>90</v>
      </c>
      <c r="C46" s="23">
        <v>43.872499999999903</v>
      </c>
      <c r="D46" s="23">
        <v>566.02</v>
      </c>
      <c r="E46" s="23">
        <f t="shared" si="2"/>
        <v>656.02</v>
      </c>
      <c r="F46" s="23">
        <v>150</v>
      </c>
      <c r="G46" s="23">
        <v>6.1105</v>
      </c>
      <c r="H46" s="23">
        <v>596.4</v>
      </c>
      <c r="I46" s="23">
        <f t="shared" si="3"/>
        <v>746.4</v>
      </c>
      <c r="J46" s="23">
        <v>30</v>
      </c>
      <c r="K46" s="23">
        <v>0.78499999999999903</v>
      </c>
      <c r="L46" s="23">
        <v>489.58</v>
      </c>
      <c r="M46" s="23">
        <f t="shared" si="4"/>
        <v>519.57999999999993</v>
      </c>
      <c r="N46" s="23">
        <v>120</v>
      </c>
      <c r="O46" s="23">
        <v>58.237000000000002</v>
      </c>
      <c r="P46" s="23">
        <v>231.322</v>
      </c>
      <c r="Q46" s="23">
        <f t="shared" si="5"/>
        <v>351.322</v>
      </c>
    </row>
    <row r="47" spans="1:17">
      <c r="A47" s="20" t="s">
        <v>183</v>
      </c>
      <c r="B47" s="23">
        <v>90</v>
      </c>
      <c r="C47" s="23">
        <v>8.0634999999999994</v>
      </c>
      <c r="D47" s="23">
        <v>1311.2123076923001</v>
      </c>
      <c r="E47" s="23">
        <f t="shared" si="2"/>
        <v>1401.2123076923001</v>
      </c>
      <c r="F47" s="23">
        <v>405</v>
      </c>
      <c r="G47" s="23">
        <v>195.48150000000001</v>
      </c>
      <c r="H47" s="23">
        <v>1974.9710769230701</v>
      </c>
      <c r="I47" s="23">
        <f t="shared" si="3"/>
        <v>2379.9710769230701</v>
      </c>
      <c r="J47" s="23">
        <v>900</v>
      </c>
      <c r="K47" s="23">
        <v>322.10000000000002</v>
      </c>
      <c r="L47" s="23">
        <v>2052.5907692307601</v>
      </c>
      <c r="M47" s="23">
        <f t="shared" si="4"/>
        <v>2952.5907692307601</v>
      </c>
      <c r="N47" s="23">
        <v>15</v>
      </c>
      <c r="O47" s="23">
        <v>204.28100000000001</v>
      </c>
      <c r="P47" s="23">
        <v>646.26461538461501</v>
      </c>
      <c r="Q47" s="23">
        <f t="shared" si="5"/>
        <v>661.26461538461501</v>
      </c>
    </row>
    <row r="48" spans="1:17">
      <c r="A48" s="20" t="s">
        <v>184</v>
      </c>
      <c r="B48" s="23">
        <v>30</v>
      </c>
      <c r="C48" s="23">
        <v>0.65049999999999897</v>
      </c>
      <c r="D48" s="23">
        <v>3645.7476923076902</v>
      </c>
      <c r="E48" s="23">
        <f t="shared" si="2"/>
        <v>3675.7476923076902</v>
      </c>
      <c r="F48" s="23">
        <v>285</v>
      </c>
      <c r="G48" s="23">
        <v>2018.056</v>
      </c>
      <c r="H48" s="23">
        <v>10969.683692307601</v>
      </c>
      <c r="I48" s="23">
        <f t="shared" si="3"/>
        <v>11254.683692307601</v>
      </c>
      <c r="J48" s="23">
        <v>75</v>
      </c>
      <c r="K48" s="23">
        <v>504.72050000000002</v>
      </c>
      <c r="L48" s="23">
        <v>11040.5095384615</v>
      </c>
      <c r="M48" s="23">
        <f t="shared" si="4"/>
        <v>11115.5095384615</v>
      </c>
      <c r="N48" s="23">
        <v>60</v>
      </c>
      <c r="O48" s="23">
        <v>3.9019999999999899</v>
      </c>
      <c r="P48" s="23">
        <v>2506.08</v>
      </c>
      <c r="Q48" s="23">
        <f t="shared" si="5"/>
        <v>2566.08</v>
      </c>
    </row>
    <row r="49" spans="1:17">
      <c r="A49" s="20" t="s">
        <v>185</v>
      </c>
      <c r="B49" s="23">
        <v>375</v>
      </c>
      <c r="C49" s="23">
        <v>6846.1004999999996</v>
      </c>
      <c r="D49" s="23">
        <v>612.27692307692303</v>
      </c>
      <c r="E49" s="23">
        <f t="shared" si="2"/>
        <v>987.27692307692303</v>
      </c>
      <c r="F49" s="23">
        <v>1200</v>
      </c>
      <c r="G49" s="23">
        <v>3015.6590000000001</v>
      </c>
      <c r="H49" s="23">
        <v>590.17846153846097</v>
      </c>
      <c r="I49" s="23">
        <f t="shared" si="3"/>
        <v>1790.1784615384609</v>
      </c>
      <c r="J49" s="23">
        <v>270</v>
      </c>
      <c r="K49" s="23">
        <v>6441.3774999999996</v>
      </c>
      <c r="L49" s="23">
        <v>378.83076923076902</v>
      </c>
      <c r="M49" s="23">
        <f t="shared" si="4"/>
        <v>648.83076923076896</v>
      </c>
      <c r="N49" s="23">
        <v>270</v>
      </c>
      <c r="O49" s="23">
        <v>647.73749999999995</v>
      </c>
      <c r="P49" s="23">
        <v>338.95384615384597</v>
      </c>
      <c r="Q49" s="23">
        <f t="shared" si="5"/>
        <v>608.95384615384592</v>
      </c>
    </row>
    <row r="50" spans="1:17">
      <c r="A50" s="20" t="s">
        <v>186</v>
      </c>
      <c r="B50" s="23">
        <v>60</v>
      </c>
      <c r="C50" s="23">
        <v>140.91749999999999</v>
      </c>
      <c r="D50" s="23">
        <v>626.80799999999999</v>
      </c>
      <c r="E50" s="23">
        <f t="shared" si="2"/>
        <v>686.80799999999999</v>
      </c>
      <c r="F50" s="23">
        <v>120</v>
      </c>
      <c r="G50" s="23">
        <v>162.9025</v>
      </c>
      <c r="H50" s="23">
        <v>609.84</v>
      </c>
      <c r="I50" s="23">
        <f t="shared" si="3"/>
        <v>729.84</v>
      </c>
      <c r="J50" s="23">
        <v>105</v>
      </c>
      <c r="K50" s="23">
        <v>145.02549999999999</v>
      </c>
      <c r="L50" s="23">
        <v>364.91</v>
      </c>
      <c r="M50" s="23">
        <f t="shared" si="4"/>
        <v>469.91</v>
      </c>
      <c r="N50" s="23">
        <v>45</v>
      </c>
      <c r="O50" s="23">
        <v>43.731499999999997</v>
      </c>
      <c r="P50" s="23">
        <v>299.39</v>
      </c>
      <c r="Q50" s="23">
        <f t="shared" si="5"/>
        <v>344.39</v>
      </c>
    </row>
    <row r="51" spans="1:17">
      <c r="A51" s="20" t="s">
        <v>187</v>
      </c>
      <c r="B51" s="23">
        <v>30</v>
      </c>
      <c r="C51" s="23">
        <v>85.534499999999994</v>
      </c>
      <c r="D51" s="23">
        <v>1284.37661538461</v>
      </c>
      <c r="E51" s="23">
        <f t="shared" si="2"/>
        <v>1314.37661538461</v>
      </c>
      <c r="F51" s="23">
        <v>45</v>
      </c>
      <c r="G51" s="23">
        <v>84.984499999999997</v>
      </c>
      <c r="H51" s="23">
        <v>1335.5003076923001</v>
      </c>
      <c r="I51" s="23">
        <f t="shared" si="3"/>
        <v>1380.5003076923001</v>
      </c>
      <c r="J51" s="23">
        <v>60</v>
      </c>
      <c r="K51" s="23">
        <v>82.427999999999997</v>
      </c>
      <c r="L51" s="23">
        <v>1226.28923076923</v>
      </c>
      <c r="M51" s="23">
        <f t="shared" si="4"/>
        <v>1286.28923076923</v>
      </c>
      <c r="N51" s="23">
        <v>30</v>
      </c>
      <c r="O51" s="23">
        <v>8.5434999999999999</v>
      </c>
      <c r="P51" s="23">
        <v>505.29230769230702</v>
      </c>
      <c r="Q51" s="23">
        <f t="shared" si="5"/>
        <v>535.29230769230708</v>
      </c>
    </row>
    <row r="52" spans="1:17">
      <c r="A52" s="20" t="s">
        <v>188</v>
      </c>
      <c r="B52" s="23">
        <v>315</v>
      </c>
      <c r="C52" s="23">
        <v>2912.8040000000001</v>
      </c>
      <c r="D52" s="23">
        <v>4437.5280000000002</v>
      </c>
      <c r="E52" s="23">
        <f t="shared" si="2"/>
        <v>4752.5280000000002</v>
      </c>
      <c r="F52" s="23">
        <v>105</v>
      </c>
      <c r="G52" s="23">
        <v>4.4424999999999999</v>
      </c>
      <c r="H52" s="23">
        <v>6627.68</v>
      </c>
      <c r="I52" s="23">
        <f t="shared" si="3"/>
        <v>6732.68</v>
      </c>
      <c r="J52" s="23">
        <v>30</v>
      </c>
      <c r="K52" s="23">
        <v>0.65649999999999897</v>
      </c>
      <c r="L52" s="23">
        <v>7303.88</v>
      </c>
      <c r="M52" s="23">
        <f t="shared" si="4"/>
        <v>7333.88</v>
      </c>
      <c r="N52" s="23">
        <v>330</v>
      </c>
      <c r="O52" s="23">
        <v>536.83399999999995</v>
      </c>
      <c r="P52" s="23">
        <v>1880.48</v>
      </c>
      <c r="Q52" s="23">
        <f t="shared" si="5"/>
        <v>2210.48</v>
      </c>
    </row>
    <row r="53" spans="1:17">
      <c r="A53" s="20" t="s">
        <v>189</v>
      </c>
      <c r="B53" s="23">
        <v>0</v>
      </c>
      <c r="C53" s="23">
        <v>0</v>
      </c>
      <c r="D53" s="23">
        <v>700.2</v>
      </c>
      <c r="E53" s="23">
        <f t="shared" si="2"/>
        <v>700.2</v>
      </c>
      <c r="F53" s="23">
        <v>300</v>
      </c>
      <c r="G53" s="23">
        <v>3410.2925</v>
      </c>
      <c r="H53" s="23">
        <v>555.29999999999995</v>
      </c>
      <c r="I53" s="23">
        <f t="shared" si="3"/>
        <v>855.3</v>
      </c>
      <c r="J53" s="23">
        <v>0</v>
      </c>
      <c r="K53" s="23">
        <v>0</v>
      </c>
      <c r="L53" s="23">
        <v>362.7</v>
      </c>
      <c r="M53" s="23">
        <f t="shared" si="4"/>
        <v>362.7</v>
      </c>
      <c r="N53" s="23">
        <v>270</v>
      </c>
      <c r="O53" s="23">
        <v>763.79899999999998</v>
      </c>
      <c r="P53" s="23">
        <v>415.62</v>
      </c>
      <c r="Q53" s="23">
        <f t="shared" si="5"/>
        <v>685.62</v>
      </c>
    </row>
    <row r="54" spans="1:17">
      <c r="A54" s="20" t="s">
        <v>190</v>
      </c>
      <c r="B54" s="23">
        <v>1335</v>
      </c>
      <c r="C54" s="23">
        <v>7909.0640000000003</v>
      </c>
      <c r="D54" s="23">
        <v>1303.3019999999999</v>
      </c>
      <c r="E54" s="23">
        <f t="shared" si="2"/>
        <v>2638.3019999999997</v>
      </c>
      <c r="F54" s="23">
        <v>315</v>
      </c>
      <c r="G54" s="23">
        <v>1634.2494999999999</v>
      </c>
      <c r="H54" s="23">
        <v>944.16</v>
      </c>
      <c r="I54" s="23">
        <f t="shared" si="3"/>
        <v>1259.1599999999999</v>
      </c>
      <c r="J54" s="23">
        <v>330</v>
      </c>
      <c r="K54" s="23">
        <v>1755.3130000000001</v>
      </c>
      <c r="L54" s="23">
        <v>808.62599999999998</v>
      </c>
      <c r="M54" s="23">
        <f t="shared" si="4"/>
        <v>1138.626</v>
      </c>
      <c r="N54" s="23">
        <v>2190</v>
      </c>
      <c r="O54" s="23">
        <v>13393.732</v>
      </c>
      <c r="P54" s="23">
        <v>1198.652</v>
      </c>
      <c r="Q54" s="23">
        <f t="shared" si="5"/>
        <v>3388.652</v>
      </c>
    </row>
    <row r="55" spans="1:17">
      <c r="A55" s="20" t="s">
        <v>191</v>
      </c>
      <c r="B55" s="23">
        <v>600</v>
      </c>
      <c r="C55" s="23">
        <v>1355.4745</v>
      </c>
      <c r="D55" s="23">
        <v>1991.95569230769</v>
      </c>
      <c r="E55" s="23">
        <f t="shared" si="2"/>
        <v>2591.9556923076898</v>
      </c>
      <c r="F55" s="23">
        <v>645</v>
      </c>
      <c r="G55" s="23">
        <v>183.09049999999999</v>
      </c>
      <c r="H55" s="23">
        <v>1905.67384615384</v>
      </c>
      <c r="I55" s="23">
        <f t="shared" si="3"/>
        <v>2550.6738461538398</v>
      </c>
      <c r="J55" s="23">
        <v>660</v>
      </c>
      <c r="K55" s="23">
        <v>203.21100000000001</v>
      </c>
      <c r="L55" s="23">
        <v>1294.2276923076899</v>
      </c>
      <c r="M55" s="23">
        <f t="shared" si="4"/>
        <v>1954.2276923076899</v>
      </c>
      <c r="N55" s="23">
        <v>975</v>
      </c>
      <c r="O55" s="23">
        <v>3194.8620000000001</v>
      </c>
      <c r="P55" s="23">
        <v>3115.1483076923</v>
      </c>
      <c r="Q55" s="23">
        <f t="shared" si="5"/>
        <v>4090.1483076923</v>
      </c>
    </row>
    <row r="57" spans="1:17" s="17" customFormat="1" ht="18.600000000000001">
      <c r="A57" s="21" t="s">
        <v>192</v>
      </c>
    </row>
    <row r="58" spans="1:17">
      <c r="A58" s="45"/>
      <c r="B58" s="2" t="s">
        <v>145</v>
      </c>
      <c r="C58" s="2" t="s">
        <v>146</v>
      </c>
      <c r="D58" s="2" t="s">
        <v>147</v>
      </c>
      <c r="E58" s="2" t="s">
        <v>148</v>
      </c>
      <c r="F58" s="2" t="s">
        <v>149</v>
      </c>
      <c r="G58" s="2" t="s">
        <v>150</v>
      </c>
      <c r="H58" s="2" t="s">
        <v>151</v>
      </c>
      <c r="I58" s="2" t="s">
        <v>152</v>
      </c>
      <c r="J58" s="2" t="s">
        <v>153</v>
      </c>
      <c r="K58" s="2" t="s">
        <v>154</v>
      </c>
      <c r="L58" s="2" t="s">
        <v>155</v>
      </c>
      <c r="M58" s="2" t="s">
        <v>156</v>
      </c>
      <c r="N58" s="2" t="s">
        <v>157</v>
      </c>
      <c r="O58" s="2" t="s">
        <v>158</v>
      </c>
      <c r="P58" s="2" t="s">
        <v>159</v>
      </c>
      <c r="Q58" s="2" t="s">
        <v>160</v>
      </c>
    </row>
    <row r="59" spans="1:17">
      <c r="A59" s="20" t="s">
        <v>161</v>
      </c>
      <c r="B59">
        <v>15</v>
      </c>
      <c r="C59" s="23">
        <v>0.53799999999999903</v>
      </c>
      <c r="D59" s="23">
        <v>324.16615384615301</v>
      </c>
      <c r="E59" s="23">
        <f t="shared" ref="E59:E89" si="6">B59+D59</f>
        <v>339.16615384615301</v>
      </c>
      <c r="F59">
        <v>720</v>
      </c>
      <c r="G59" s="23">
        <v>1533.634</v>
      </c>
      <c r="H59" s="23">
        <v>2261.3538461538401</v>
      </c>
      <c r="I59" s="23">
        <f t="shared" ref="I59:I89" si="7">F59+H59</f>
        <v>2981.3538461538401</v>
      </c>
      <c r="J59">
        <v>315</v>
      </c>
      <c r="K59" s="23">
        <v>1281.1220000000001</v>
      </c>
      <c r="L59" s="23">
        <v>1668.18461538461</v>
      </c>
      <c r="M59" s="23">
        <f t="shared" ref="M59:M89" si="8">J59+L59</f>
        <v>1983.18461538461</v>
      </c>
      <c r="N59" s="23">
        <v>540</v>
      </c>
      <c r="O59" s="23">
        <v>2599.2249999999999</v>
      </c>
      <c r="P59" s="23">
        <v>2502.1107692307601</v>
      </c>
      <c r="Q59" s="23">
        <f t="shared" ref="Q59:Q89" si="9">P59+N59</f>
        <v>3042.1107692307601</v>
      </c>
    </row>
    <row r="60" spans="1:17">
      <c r="A60" s="20" t="s">
        <v>162</v>
      </c>
      <c r="B60">
        <v>15</v>
      </c>
      <c r="C60" s="23">
        <v>96.227000000000004</v>
      </c>
      <c r="D60" s="23">
        <v>115.156363636363</v>
      </c>
      <c r="E60" s="23">
        <f t="shared" si="6"/>
        <v>130.15636363636298</v>
      </c>
      <c r="F60">
        <v>15</v>
      </c>
      <c r="G60" s="23">
        <v>96.840500000000006</v>
      </c>
      <c r="H60" s="23">
        <v>386.4</v>
      </c>
      <c r="I60" s="23">
        <f t="shared" si="7"/>
        <v>401.4</v>
      </c>
      <c r="J60">
        <v>0</v>
      </c>
      <c r="K60" s="23">
        <v>0</v>
      </c>
      <c r="L60" s="23">
        <v>106.22181818181799</v>
      </c>
      <c r="M60" s="23">
        <f t="shared" si="8"/>
        <v>106.22181818181799</v>
      </c>
      <c r="N60" s="23">
        <v>60</v>
      </c>
      <c r="O60" s="23">
        <v>271.82749999999999</v>
      </c>
      <c r="P60" s="23">
        <v>462.61090909090899</v>
      </c>
      <c r="Q60" s="23">
        <f t="shared" si="9"/>
        <v>522.61090909090899</v>
      </c>
    </row>
    <row r="61" spans="1:17">
      <c r="A61" s="20" t="s">
        <v>163</v>
      </c>
      <c r="B61">
        <v>0</v>
      </c>
      <c r="C61" s="23">
        <v>0</v>
      </c>
      <c r="D61" s="23">
        <v>115.495384615384</v>
      </c>
      <c r="E61" s="23">
        <f t="shared" si="6"/>
        <v>115.495384615384</v>
      </c>
      <c r="F61">
        <v>195</v>
      </c>
      <c r="G61" s="23">
        <v>1083.944</v>
      </c>
      <c r="H61" s="23">
        <v>1077.67384615384</v>
      </c>
      <c r="I61" s="23">
        <f t="shared" si="7"/>
        <v>1272.67384615384</v>
      </c>
      <c r="J61">
        <v>0</v>
      </c>
      <c r="K61" s="23">
        <v>0</v>
      </c>
      <c r="L61" s="23">
        <v>83.394461538461499</v>
      </c>
      <c r="M61" s="23">
        <f t="shared" si="8"/>
        <v>83.394461538461499</v>
      </c>
      <c r="N61" s="23">
        <v>15</v>
      </c>
      <c r="O61" s="23">
        <v>99.846000000000004</v>
      </c>
      <c r="P61" s="23">
        <v>279.39692307692297</v>
      </c>
      <c r="Q61" s="23">
        <f t="shared" si="9"/>
        <v>294.39692307692297</v>
      </c>
    </row>
    <row r="62" spans="1:17">
      <c r="A62" s="20" t="s">
        <v>164</v>
      </c>
      <c r="B62">
        <v>0</v>
      </c>
      <c r="C62" s="23">
        <v>0</v>
      </c>
      <c r="D62" s="23">
        <v>224.48</v>
      </c>
      <c r="E62" s="23">
        <f t="shared" si="6"/>
        <v>224.48</v>
      </c>
      <c r="F62">
        <v>45</v>
      </c>
      <c r="G62" s="23">
        <v>270.78149999999999</v>
      </c>
      <c r="H62" s="23">
        <v>763.6</v>
      </c>
      <c r="I62" s="23">
        <f t="shared" si="7"/>
        <v>808.6</v>
      </c>
      <c r="J62">
        <v>0</v>
      </c>
      <c r="K62" s="23">
        <v>0</v>
      </c>
      <c r="L62" s="23">
        <v>225.4</v>
      </c>
      <c r="M62" s="23">
        <f t="shared" si="8"/>
        <v>225.4</v>
      </c>
      <c r="N62" s="23">
        <v>540</v>
      </c>
      <c r="O62" s="23">
        <v>6104.0410000000002</v>
      </c>
      <c r="P62" s="23">
        <v>1699.23999999999</v>
      </c>
      <c r="Q62" s="23">
        <f t="shared" si="9"/>
        <v>2239.2399999999898</v>
      </c>
    </row>
    <row r="63" spans="1:17">
      <c r="A63" s="20" t="s">
        <v>165</v>
      </c>
      <c r="B63">
        <v>0</v>
      </c>
      <c r="C63" s="23">
        <v>0</v>
      </c>
      <c r="D63" s="23">
        <v>340.61538461538402</v>
      </c>
      <c r="E63" s="23">
        <f t="shared" si="6"/>
        <v>340.61538461538402</v>
      </c>
      <c r="F63">
        <v>165</v>
      </c>
      <c r="G63" s="23">
        <v>749.04</v>
      </c>
      <c r="H63" s="23">
        <v>2081.90769230769</v>
      </c>
      <c r="I63" s="23">
        <f t="shared" si="7"/>
        <v>2246.90769230769</v>
      </c>
      <c r="J63">
        <v>0</v>
      </c>
      <c r="K63" s="23">
        <v>0</v>
      </c>
      <c r="L63" s="23">
        <v>540</v>
      </c>
      <c r="M63" s="23">
        <f t="shared" si="8"/>
        <v>540</v>
      </c>
      <c r="N63" s="23">
        <v>1035</v>
      </c>
      <c r="O63" s="23">
        <v>9780.3335000000006</v>
      </c>
      <c r="P63" s="23">
        <v>7935.34153846153</v>
      </c>
      <c r="Q63" s="23">
        <f t="shared" si="9"/>
        <v>8970.3415384615291</v>
      </c>
    </row>
    <row r="64" spans="1:17">
      <c r="A64" s="20" t="s">
        <v>166</v>
      </c>
      <c r="B64">
        <v>15</v>
      </c>
      <c r="C64" s="23">
        <v>74.601500000000001</v>
      </c>
      <c r="D64" s="23">
        <v>243.88</v>
      </c>
      <c r="E64" s="23">
        <f t="shared" si="6"/>
        <v>258.88</v>
      </c>
      <c r="F64">
        <v>330</v>
      </c>
      <c r="G64" s="23">
        <v>1599.0885000000001</v>
      </c>
      <c r="H64" s="23">
        <v>1325.3520000000001</v>
      </c>
      <c r="I64" s="23">
        <f t="shared" si="7"/>
        <v>1655.3520000000001</v>
      </c>
      <c r="J64">
        <v>15</v>
      </c>
      <c r="K64" s="23">
        <v>10.272</v>
      </c>
      <c r="L64" s="23">
        <v>109.2</v>
      </c>
      <c r="M64" s="23">
        <f t="shared" si="8"/>
        <v>124.2</v>
      </c>
      <c r="N64" s="23">
        <v>0</v>
      </c>
      <c r="O64" s="23">
        <v>0</v>
      </c>
      <c r="P64" s="23">
        <v>323.95999999999998</v>
      </c>
      <c r="Q64" s="23">
        <f t="shared" si="9"/>
        <v>323.95999999999998</v>
      </c>
    </row>
    <row r="65" spans="1:17">
      <c r="A65" s="20" t="s">
        <v>167</v>
      </c>
      <c r="B65">
        <v>30</v>
      </c>
      <c r="C65" s="23">
        <v>976.86350000000004</v>
      </c>
      <c r="D65" s="23">
        <v>194.47384615384601</v>
      </c>
      <c r="E65" s="23">
        <f t="shared" si="6"/>
        <v>224.47384615384601</v>
      </c>
      <c r="F65">
        <v>375</v>
      </c>
      <c r="G65" s="23">
        <v>2307.0585000000001</v>
      </c>
      <c r="H65" s="23">
        <v>2229.23076923076</v>
      </c>
      <c r="I65" s="23">
        <f t="shared" si="7"/>
        <v>2604.23076923076</v>
      </c>
      <c r="J65">
        <v>15</v>
      </c>
      <c r="K65" s="23">
        <v>93.625500000000002</v>
      </c>
      <c r="L65" s="23">
        <v>52.652307692307602</v>
      </c>
      <c r="M65" s="23">
        <f t="shared" si="8"/>
        <v>67.652307692307602</v>
      </c>
      <c r="N65" s="23">
        <v>120</v>
      </c>
      <c r="O65" s="23">
        <v>950.20799999999997</v>
      </c>
      <c r="P65" s="23">
        <v>963.87692307692305</v>
      </c>
      <c r="Q65" s="23">
        <f t="shared" si="9"/>
        <v>1083.876923076923</v>
      </c>
    </row>
    <row r="66" spans="1:17">
      <c r="A66" s="20" t="s">
        <v>168</v>
      </c>
      <c r="B66">
        <v>60</v>
      </c>
      <c r="C66" s="23">
        <v>355.23599999999999</v>
      </c>
      <c r="D66" s="23">
        <v>999.11999999999898</v>
      </c>
      <c r="E66" s="23">
        <f t="shared" si="6"/>
        <v>1059.119999999999</v>
      </c>
      <c r="F66">
        <v>675</v>
      </c>
      <c r="G66" s="23">
        <v>874.03250000000003</v>
      </c>
      <c r="H66" s="23">
        <v>1840.92</v>
      </c>
      <c r="I66" s="23">
        <f t="shared" si="7"/>
        <v>2515.92</v>
      </c>
      <c r="J66">
        <v>75</v>
      </c>
      <c r="K66" s="23">
        <v>69.5505</v>
      </c>
      <c r="L66" s="23">
        <v>331.2</v>
      </c>
      <c r="M66" s="23">
        <f t="shared" si="8"/>
        <v>406.2</v>
      </c>
      <c r="N66" s="23">
        <v>45</v>
      </c>
      <c r="O66" s="23">
        <v>312.68299999999999</v>
      </c>
      <c r="P66" s="23">
        <v>2565.8799999999901</v>
      </c>
      <c r="Q66" s="23">
        <f t="shared" si="9"/>
        <v>2610.8799999999901</v>
      </c>
    </row>
    <row r="67" spans="1:17">
      <c r="A67" s="20" t="s">
        <v>169</v>
      </c>
      <c r="B67">
        <v>45</v>
      </c>
      <c r="C67" s="23">
        <v>259.1705</v>
      </c>
      <c r="D67" s="23">
        <v>761.94</v>
      </c>
      <c r="E67" s="23">
        <f t="shared" si="6"/>
        <v>806.94</v>
      </c>
      <c r="F67">
        <v>240</v>
      </c>
      <c r="G67" s="23">
        <v>664.30949999999996</v>
      </c>
      <c r="H67" s="23">
        <v>1736.1</v>
      </c>
      <c r="I67" s="23">
        <f t="shared" si="7"/>
        <v>1976.1</v>
      </c>
      <c r="J67">
        <v>105</v>
      </c>
      <c r="K67" s="23">
        <v>1142.6005</v>
      </c>
      <c r="L67" s="23">
        <v>1433.7</v>
      </c>
      <c r="M67" s="23">
        <f t="shared" si="8"/>
        <v>1538.7</v>
      </c>
      <c r="N67" s="23">
        <v>1050</v>
      </c>
      <c r="O67" s="23">
        <v>5353.3239999999996</v>
      </c>
      <c r="P67" s="23">
        <v>4060.8</v>
      </c>
      <c r="Q67" s="23">
        <f t="shared" si="9"/>
        <v>5110.8</v>
      </c>
    </row>
    <row r="68" spans="1:17">
      <c r="A68" s="20" t="s">
        <v>170</v>
      </c>
      <c r="B68">
        <v>15</v>
      </c>
      <c r="C68" s="23">
        <v>6.6999999999998699E-2</v>
      </c>
      <c r="D68" s="23">
        <v>355.32</v>
      </c>
      <c r="E68" s="23">
        <f t="shared" si="6"/>
        <v>370.32</v>
      </c>
      <c r="F68">
        <v>1485</v>
      </c>
      <c r="G68" s="23">
        <v>1106.7550000000001</v>
      </c>
      <c r="H68" s="23">
        <v>2209.1999999999998</v>
      </c>
      <c r="I68" s="23">
        <f t="shared" si="7"/>
        <v>3694.2</v>
      </c>
      <c r="J68">
        <v>45</v>
      </c>
      <c r="K68" s="23">
        <v>0.55249999999999699</v>
      </c>
      <c r="L68" s="23">
        <v>440.83199999999999</v>
      </c>
      <c r="M68" s="23">
        <f t="shared" si="8"/>
        <v>485.83199999999999</v>
      </c>
      <c r="N68" s="23">
        <v>105</v>
      </c>
      <c r="O68" s="23">
        <v>104.0475</v>
      </c>
      <c r="P68" s="23">
        <v>1243.2</v>
      </c>
      <c r="Q68" s="23">
        <f t="shared" si="9"/>
        <v>1348.2</v>
      </c>
    </row>
    <row r="69" spans="1:17">
      <c r="A69" s="20" t="s">
        <v>171</v>
      </c>
      <c r="B69">
        <v>60</v>
      </c>
      <c r="C69" s="23">
        <v>0.86100000000000099</v>
      </c>
      <c r="D69" s="23">
        <v>303.12685714285698</v>
      </c>
      <c r="E69" s="23">
        <f t="shared" si="6"/>
        <v>363.12685714285698</v>
      </c>
      <c r="F69">
        <v>3660</v>
      </c>
      <c r="G69" s="23">
        <v>7692.4605000000001</v>
      </c>
      <c r="H69" s="23">
        <v>8035.5428571428502</v>
      </c>
      <c r="I69" s="23">
        <f t="shared" si="7"/>
        <v>11695.542857142849</v>
      </c>
      <c r="J69">
        <v>120</v>
      </c>
      <c r="K69" s="23">
        <v>7.0815000000000001</v>
      </c>
      <c r="L69" s="23">
        <v>285.46285714285699</v>
      </c>
      <c r="M69" s="23">
        <f t="shared" si="8"/>
        <v>405.46285714285699</v>
      </c>
      <c r="N69" s="23">
        <v>15</v>
      </c>
      <c r="O69" s="23">
        <v>8.3109999999999999</v>
      </c>
      <c r="P69" s="23">
        <v>346.97142857142802</v>
      </c>
      <c r="Q69" s="23">
        <f t="shared" si="9"/>
        <v>361.97142857142802</v>
      </c>
    </row>
    <row r="70" spans="1:17">
      <c r="A70" s="20" t="s">
        <v>172</v>
      </c>
      <c r="B70">
        <v>120</v>
      </c>
      <c r="C70" s="23">
        <v>980.82849999999905</v>
      </c>
      <c r="D70" s="23">
        <v>1684.8738461538401</v>
      </c>
      <c r="E70" s="23">
        <f t="shared" si="6"/>
        <v>1804.8738461538401</v>
      </c>
      <c r="F70">
        <v>645</v>
      </c>
      <c r="G70" s="23">
        <v>3660.9569999999999</v>
      </c>
      <c r="H70" s="23">
        <v>3430.8923076923002</v>
      </c>
      <c r="I70" s="23">
        <f t="shared" si="7"/>
        <v>4075.8923076923002</v>
      </c>
      <c r="J70">
        <v>0</v>
      </c>
      <c r="K70" s="23">
        <v>0</v>
      </c>
      <c r="L70" s="23">
        <v>446.52553846153802</v>
      </c>
      <c r="M70" s="23">
        <f t="shared" si="8"/>
        <v>446.52553846153802</v>
      </c>
      <c r="N70" s="23">
        <v>105</v>
      </c>
      <c r="O70" s="23">
        <v>409.25450000000001</v>
      </c>
      <c r="P70" s="23">
        <v>1495.4953846153801</v>
      </c>
      <c r="Q70" s="23">
        <f t="shared" si="9"/>
        <v>1600.4953846153801</v>
      </c>
    </row>
    <row r="71" spans="1:17">
      <c r="A71" s="20" t="s">
        <v>173</v>
      </c>
      <c r="B71">
        <v>405</v>
      </c>
      <c r="C71" s="23">
        <v>4475.6854999999996</v>
      </c>
      <c r="D71" s="23">
        <v>4124.7692307692296</v>
      </c>
      <c r="E71" s="23">
        <f t="shared" si="6"/>
        <v>4529.7692307692296</v>
      </c>
      <c r="F71">
        <v>1695</v>
      </c>
      <c r="G71" s="23">
        <v>6504.6594999999998</v>
      </c>
      <c r="H71" s="23">
        <v>8718.9230769230708</v>
      </c>
      <c r="I71" s="23">
        <f t="shared" si="7"/>
        <v>10413.923076923071</v>
      </c>
      <c r="J71">
        <v>120</v>
      </c>
      <c r="K71" s="23">
        <v>127.366</v>
      </c>
      <c r="L71" s="23">
        <v>696.68307692307599</v>
      </c>
      <c r="M71" s="23">
        <f t="shared" si="8"/>
        <v>816.68307692307599</v>
      </c>
      <c r="N71" s="23">
        <v>2520</v>
      </c>
      <c r="O71" s="23">
        <v>15132.304</v>
      </c>
      <c r="P71" s="23">
        <v>13947.7846153846</v>
      </c>
      <c r="Q71" s="23">
        <f t="shared" si="9"/>
        <v>16467.7846153846</v>
      </c>
    </row>
    <row r="72" spans="1:17">
      <c r="A72" s="20" t="s">
        <v>174</v>
      </c>
      <c r="B72">
        <v>0</v>
      </c>
      <c r="C72" s="23">
        <v>0</v>
      </c>
      <c r="D72" s="23">
        <v>694.33</v>
      </c>
      <c r="E72" s="23">
        <f t="shared" si="6"/>
        <v>694.33</v>
      </c>
      <c r="F72">
        <v>150</v>
      </c>
      <c r="G72" s="23">
        <v>124.25149999999999</v>
      </c>
      <c r="H72" s="23">
        <v>2793</v>
      </c>
      <c r="I72" s="23">
        <f t="shared" si="7"/>
        <v>2943</v>
      </c>
      <c r="J72">
        <v>30</v>
      </c>
      <c r="K72" s="23">
        <v>3.9729999999999901</v>
      </c>
      <c r="L72" s="23">
        <v>802.62</v>
      </c>
      <c r="M72" s="23">
        <f t="shared" si="8"/>
        <v>832.62</v>
      </c>
      <c r="N72" s="23">
        <v>0</v>
      </c>
      <c r="O72" s="23">
        <v>0</v>
      </c>
      <c r="P72" s="23">
        <v>505.05</v>
      </c>
      <c r="Q72" s="23">
        <f t="shared" si="9"/>
        <v>505.05</v>
      </c>
    </row>
    <row r="73" spans="1:17">
      <c r="A73" s="20" t="s">
        <v>175</v>
      </c>
      <c r="B73">
        <v>30</v>
      </c>
      <c r="C73" s="23">
        <v>9.3000000000000693E-2</v>
      </c>
      <c r="D73" s="23">
        <v>253.070769230769</v>
      </c>
      <c r="E73" s="23">
        <f t="shared" si="6"/>
        <v>283.07076923076897</v>
      </c>
      <c r="F73">
        <v>375</v>
      </c>
      <c r="G73" s="23">
        <v>254.2345</v>
      </c>
      <c r="H73" s="23">
        <v>1031.81538461538</v>
      </c>
      <c r="I73" s="23">
        <f t="shared" si="7"/>
        <v>1406.81538461538</v>
      </c>
      <c r="J73">
        <v>60</v>
      </c>
      <c r="K73" s="23">
        <v>0.56099999999999794</v>
      </c>
      <c r="L73" s="23">
        <v>319.31076923076898</v>
      </c>
      <c r="M73" s="23">
        <f t="shared" si="8"/>
        <v>379.31076923076898</v>
      </c>
      <c r="N73" s="23">
        <v>0</v>
      </c>
      <c r="O73" s="23">
        <v>0</v>
      </c>
      <c r="P73" s="23">
        <v>138.42461538461501</v>
      </c>
      <c r="Q73" s="23">
        <f t="shared" si="9"/>
        <v>138.42461538461501</v>
      </c>
    </row>
    <row r="74" spans="1:17">
      <c r="A74" s="20" t="s">
        <v>176</v>
      </c>
      <c r="B74">
        <v>0</v>
      </c>
      <c r="C74" s="23">
        <v>0</v>
      </c>
      <c r="D74" s="23">
        <v>709.95692307692298</v>
      </c>
      <c r="E74" s="23">
        <f t="shared" si="6"/>
        <v>709.95692307692298</v>
      </c>
      <c r="F74">
        <v>165</v>
      </c>
      <c r="G74" s="23">
        <v>104.5395</v>
      </c>
      <c r="H74" s="23">
        <v>1480.71876923076</v>
      </c>
      <c r="I74" s="23">
        <f t="shared" si="7"/>
        <v>1645.71876923076</v>
      </c>
      <c r="J74">
        <v>60</v>
      </c>
      <c r="K74" s="23">
        <v>60.6265</v>
      </c>
      <c r="L74" s="23">
        <v>1042.00615384615</v>
      </c>
      <c r="M74" s="23">
        <f t="shared" si="8"/>
        <v>1102.00615384615</v>
      </c>
      <c r="N74" s="23">
        <v>30</v>
      </c>
      <c r="O74" s="23">
        <v>24.454499999999999</v>
      </c>
      <c r="P74" s="23">
        <v>379.60615384615301</v>
      </c>
      <c r="Q74" s="23">
        <f t="shared" si="9"/>
        <v>409.60615384615301</v>
      </c>
    </row>
    <row r="75" spans="1:17">
      <c r="A75" s="20" t="s">
        <v>177</v>
      </c>
      <c r="B75">
        <v>0</v>
      </c>
      <c r="C75" s="23">
        <v>0</v>
      </c>
      <c r="D75" s="23">
        <v>1151.6727272727201</v>
      </c>
      <c r="E75" s="23">
        <f t="shared" si="6"/>
        <v>1151.6727272727201</v>
      </c>
      <c r="F75">
        <v>615</v>
      </c>
      <c r="G75" s="23">
        <v>5763.22</v>
      </c>
      <c r="H75" s="23">
        <v>6957.1938461538402</v>
      </c>
      <c r="I75" s="23">
        <f t="shared" si="7"/>
        <v>7572.1938461538402</v>
      </c>
      <c r="J75">
        <v>360</v>
      </c>
      <c r="K75" s="23">
        <v>4052.6149999999998</v>
      </c>
      <c r="L75" s="23">
        <v>5449.2872727272697</v>
      </c>
      <c r="M75" s="23">
        <f t="shared" si="8"/>
        <v>5809.2872727272697</v>
      </c>
      <c r="N75" s="23">
        <v>60</v>
      </c>
      <c r="O75" s="23">
        <v>183.732</v>
      </c>
      <c r="P75" s="23">
        <v>887.56363636363596</v>
      </c>
      <c r="Q75" s="23">
        <f t="shared" si="9"/>
        <v>947.56363636363596</v>
      </c>
    </row>
    <row r="76" spans="1:17">
      <c r="A76" s="20" t="s">
        <v>178</v>
      </c>
      <c r="B76">
        <v>90</v>
      </c>
      <c r="C76" s="23">
        <v>537.04750000000001</v>
      </c>
      <c r="D76" s="23">
        <v>509.88</v>
      </c>
      <c r="E76" s="23">
        <f t="shared" si="6"/>
        <v>599.88</v>
      </c>
      <c r="F76">
        <v>585</v>
      </c>
      <c r="G76" s="23">
        <v>1179.7919999999999</v>
      </c>
      <c r="H76" s="23">
        <v>1570.8</v>
      </c>
      <c r="I76" s="23">
        <f t="shared" si="7"/>
        <v>2155.8000000000002</v>
      </c>
      <c r="J76">
        <v>90</v>
      </c>
      <c r="K76" s="23">
        <v>93.536000000000001</v>
      </c>
      <c r="L76" s="23">
        <v>289.8</v>
      </c>
      <c r="M76" s="23">
        <f t="shared" si="8"/>
        <v>379.8</v>
      </c>
      <c r="N76" s="23">
        <v>45</v>
      </c>
      <c r="O76" s="23">
        <v>245.14949999999999</v>
      </c>
      <c r="P76" s="23">
        <v>164.64</v>
      </c>
      <c r="Q76" s="23">
        <f t="shared" si="9"/>
        <v>209.64</v>
      </c>
    </row>
    <row r="77" spans="1:17">
      <c r="A77" s="20" t="s">
        <v>179</v>
      </c>
      <c r="B77">
        <v>0</v>
      </c>
      <c r="C77" s="23">
        <v>0</v>
      </c>
      <c r="D77" s="23">
        <v>336.63507692307599</v>
      </c>
      <c r="E77" s="23">
        <f t="shared" si="6"/>
        <v>336.63507692307599</v>
      </c>
      <c r="F77">
        <v>465</v>
      </c>
      <c r="G77" s="23">
        <v>1840.2339999999999</v>
      </c>
      <c r="H77" s="23">
        <v>2363.0695384615301</v>
      </c>
      <c r="I77" s="23">
        <f t="shared" si="7"/>
        <v>2828.0695384615301</v>
      </c>
      <c r="J77">
        <v>15</v>
      </c>
      <c r="K77" s="23">
        <v>0.44749999999999901</v>
      </c>
      <c r="L77" s="23">
        <v>180.88615384615301</v>
      </c>
      <c r="M77" s="23">
        <f t="shared" si="8"/>
        <v>195.88615384615301</v>
      </c>
      <c r="N77" s="23">
        <v>15</v>
      </c>
      <c r="O77" s="23">
        <v>0.88149999999999895</v>
      </c>
      <c r="P77" s="23">
        <v>125.686153846153</v>
      </c>
      <c r="Q77" s="23">
        <f t="shared" si="9"/>
        <v>140.68615384615299</v>
      </c>
    </row>
    <row r="78" spans="1:17">
      <c r="A78" s="20" t="s">
        <v>180</v>
      </c>
      <c r="B78">
        <v>60</v>
      </c>
      <c r="C78" s="23">
        <v>0.68100000000000005</v>
      </c>
      <c r="D78" s="23">
        <v>830.20799999999997</v>
      </c>
      <c r="E78" s="23">
        <f t="shared" si="6"/>
        <v>890.20799999999997</v>
      </c>
      <c r="F78">
        <v>135</v>
      </c>
      <c r="G78" s="23">
        <v>204.142</v>
      </c>
      <c r="H78" s="23">
        <v>1318.00615384615</v>
      </c>
      <c r="I78" s="23">
        <f t="shared" si="7"/>
        <v>1453.00615384615</v>
      </c>
      <c r="J78">
        <v>105</v>
      </c>
      <c r="K78" s="23">
        <v>211.99449999999999</v>
      </c>
      <c r="L78" s="23">
        <v>859.42153846153803</v>
      </c>
      <c r="M78" s="23">
        <f t="shared" si="8"/>
        <v>964.42153846153803</v>
      </c>
      <c r="N78" s="23">
        <v>75</v>
      </c>
      <c r="O78" s="23">
        <v>117.378</v>
      </c>
      <c r="P78" s="23">
        <v>427.16307692307601</v>
      </c>
      <c r="Q78" s="23">
        <f t="shared" si="9"/>
        <v>502.16307692307601</v>
      </c>
    </row>
    <row r="79" spans="1:17">
      <c r="A79" s="20" t="s">
        <v>181</v>
      </c>
      <c r="B79">
        <v>210</v>
      </c>
      <c r="C79" s="23">
        <v>503.55399999999997</v>
      </c>
      <c r="D79" s="23">
        <v>2129.0953846153802</v>
      </c>
      <c r="E79" s="23">
        <f t="shared" si="6"/>
        <v>2339.0953846153802</v>
      </c>
      <c r="F79">
        <v>1305</v>
      </c>
      <c r="G79" s="23">
        <v>10672.7135</v>
      </c>
      <c r="H79" s="23">
        <v>10579.8461538461</v>
      </c>
      <c r="I79" s="23">
        <f t="shared" si="7"/>
        <v>11884.8461538461</v>
      </c>
      <c r="J79">
        <v>870</v>
      </c>
      <c r="K79" s="23">
        <v>11076.169</v>
      </c>
      <c r="L79" s="23">
        <v>10421.3353846153</v>
      </c>
      <c r="M79" s="23">
        <f t="shared" si="8"/>
        <v>11291.3353846153</v>
      </c>
      <c r="N79" s="23">
        <v>15</v>
      </c>
      <c r="O79" s="23">
        <v>0.60599999999999998</v>
      </c>
      <c r="P79" s="23">
        <v>957.87692307692305</v>
      </c>
      <c r="Q79" s="23">
        <f t="shared" si="9"/>
        <v>972.87692307692305</v>
      </c>
    </row>
    <row r="80" spans="1:17">
      <c r="A80" s="20" t="s">
        <v>182</v>
      </c>
      <c r="B80">
        <v>90</v>
      </c>
      <c r="C80" s="23">
        <v>43.872499999999903</v>
      </c>
      <c r="D80" s="23">
        <v>214.76</v>
      </c>
      <c r="E80" s="23">
        <f t="shared" si="6"/>
        <v>304.76</v>
      </c>
      <c r="F80">
        <v>150</v>
      </c>
      <c r="G80" s="23">
        <v>6.1105</v>
      </c>
      <c r="H80" s="23">
        <v>375.48</v>
      </c>
      <c r="I80" s="23">
        <f t="shared" si="7"/>
        <v>525.48</v>
      </c>
      <c r="J80">
        <v>30</v>
      </c>
      <c r="K80" s="23">
        <v>0.78499999999999903</v>
      </c>
      <c r="L80" s="23">
        <v>184.00199999999899</v>
      </c>
      <c r="M80" s="23">
        <f t="shared" si="8"/>
        <v>214.00199999999899</v>
      </c>
      <c r="N80" s="23">
        <v>120</v>
      </c>
      <c r="O80" s="23">
        <v>58.237000000000002</v>
      </c>
      <c r="P80" s="23">
        <v>109.2</v>
      </c>
      <c r="Q80" s="23">
        <f t="shared" si="9"/>
        <v>229.2</v>
      </c>
    </row>
    <row r="81" spans="1:17">
      <c r="A81" s="20" t="s">
        <v>183</v>
      </c>
      <c r="B81">
        <v>90</v>
      </c>
      <c r="C81" s="23">
        <v>8.0634999999999994</v>
      </c>
      <c r="D81" s="23">
        <v>167.298461538461</v>
      </c>
      <c r="E81" s="23">
        <f t="shared" si="6"/>
        <v>257.29846153846097</v>
      </c>
      <c r="F81">
        <v>405</v>
      </c>
      <c r="G81" s="23">
        <v>195.48150000000001</v>
      </c>
      <c r="H81" s="23">
        <v>403.38461538461502</v>
      </c>
      <c r="I81" s="23">
        <f t="shared" si="7"/>
        <v>808.38461538461502</v>
      </c>
      <c r="J81">
        <v>900</v>
      </c>
      <c r="K81" s="23">
        <v>322.10000000000002</v>
      </c>
      <c r="L81" s="23">
        <v>442.44923076922998</v>
      </c>
      <c r="M81" s="23">
        <f t="shared" si="8"/>
        <v>1342.4492307692299</v>
      </c>
      <c r="N81" s="23">
        <v>15</v>
      </c>
      <c r="O81" s="23">
        <v>204.28100000000001</v>
      </c>
      <c r="P81" s="23">
        <v>125.85599999999999</v>
      </c>
      <c r="Q81" s="23">
        <f t="shared" si="9"/>
        <v>140.85599999999999</v>
      </c>
    </row>
    <row r="82" spans="1:17">
      <c r="A82" s="20" t="s">
        <v>184</v>
      </c>
      <c r="B82">
        <v>30</v>
      </c>
      <c r="C82" s="23">
        <v>0.65049999999999897</v>
      </c>
      <c r="D82" s="23">
        <v>725.75261538461496</v>
      </c>
      <c r="E82" s="23">
        <f t="shared" si="6"/>
        <v>755.75261538461496</v>
      </c>
      <c r="F82">
        <v>285</v>
      </c>
      <c r="G82" s="23">
        <v>2018.056</v>
      </c>
      <c r="H82" s="23">
        <v>1390.0209230769201</v>
      </c>
      <c r="I82" s="23">
        <f t="shared" si="7"/>
        <v>1675.0209230769201</v>
      </c>
      <c r="J82">
        <v>75</v>
      </c>
      <c r="K82" s="23">
        <v>504.72050000000002</v>
      </c>
      <c r="L82" s="23">
        <v>1131.6849230769201</v>
      </c>
      <c r="M82" s="23">
        <f t="shared" si="8"/>
        <v>1206.6849230769201</v>
      </c>
      <c r="N82" s="23">
        <v>60</v>
      </c>
      <c r="O82" s="23">
        <v>3.9019999999999899</v>
      </c>
      <c r="P82" s="23">
        <v>360.923076923076</v>
      </c>
      <c r="Q82" s="23">
        <f t="shared" si="9"/>
        <v>420.923076923076</v>
      </c>
    </row>
    <row r="83" spans="1:17">
      <c r="A83" s="20" t="s">
        <v>185</v>
      </c>
      <c r="B83">
        <v>375</v>
      </c>
      <c r="C83" s="23">
        <v>6846.1004999999996</v>
      </c>
      <c r="D83" s="23">
        <v>6469.6984615384599</v>
      </c>
      <c r="E83" s="23">
        <f t="shared" si="6"/>
        <v>6844.6984615384599</v>
      </c>
      <c r="F83">
        <v>1200</v>
      </c>
      <c r="G83" s="23">
        <v>3015.6590000000001</v>
      </c>
      <c r="H83" s="23">
        <v>5681.4646153846097</v>
      </c>
      <c r="I83" s="23">
        <f t="shared" si="7"/>
        <v>6881.4646153846097</v>
      </c>
      <c r="J83">
        <v>270</v>
      </c>
      <c r="K83" s="23">
        <v>6441.3774999999996</v>
      </c>
      <c r="L83" s="23">
        <v>7755.2307692307604</v>
      </c>
      <c r="M83" s="23">
        <f t="shared" si="8"/>
        <v>8025.2307692307604</v>
      </c>
      <c r="N83" s="23">
        <v>270</v>
      </c>
      <c r="O83" s="23">
        <v>647.73749999999995</v>
      </c>
      <c r="P83" s="23">
        <v>1214.9169230769201</v>
      </c>
      <c r="Q83" s="23">
        <f t="shared" si="9"/>
        <v>1484.9169230769201</v>
      </c>
    </row>
    <row r="84" spans="1:17">
      <c r="A84" s="20" t="s">
        <v>186</v>
      </c>
      <c r="B84">
        <v>60</v>
      </c>
      <c r="C84" s="23">
        <v>140.91749999999999</v>
      </c>
      <c r="D84" s="23">
        <v>311.584</v>
      </c>
      <c r="E84" s="23">
        <f t="shared" si="6"/>
        <v>371.584</v>
      </c>
      <c r="F84">
        <v>120</v>
      </c>
      <c r="G84" s="23">
        <v>162.9025</v>
      </c>
      <c r="H84" s="23">
        <v>401.52</v>
      </c>
      <c r="I84" s="23">
        <f t="shared" si="7"/>
        <v>521.52</v>
      </c>
      <c r="J84">
        <v>105</v>
      </c>
      <c r="K84" s="23">
        <v>145.02549999999999</v>
      </c>
      <c r="L84" s="23">
        <v>224.76999999999899</v>
      </c>
      <c r="M84" s="23">
        <f t="shared" si="8"/>
        <v>329.76999999999896</v>
      </c>
      <c r="N84" s="23">
        <v>45</v>
      </c>
      <c r="O84" s="23">
        <v>43.731499999999997</v>
      </c>
      <c r="P84" s="23">
        <v>188.37</v>
      </c>
      <c r="Q84" s="23">
        <f t="shared" si="9"/>
        <v>233.37</v>
      </c>
    </row>
    <row r="85" spans="1:17">
      <c r="A85" s="20" t="s">
        <v>187</v>
      </c>
      <c r="B85">
        <v>30</v>
      </c>
      <c r="C85" s="23">
        <v>85.534499999999994</v>
      </c>
      <c r="D85" s="23">
        <v>267.67753846153801</v>
      </c>
      <c r="E85" s="23">
        <f t="shared" si="6"/>
        <v>297.67753846153801</v>
      </c>
      <c r="F85">
        <v>45</v>
      </c>
      <c r="G85" s="23">
        <v>84.984499999999997</v>
      </c>
      <c r="H85" s="23">
        <v>349.03384615384601</v>
      </c>
      <c r="I85" s="23">
        <f t="shared" si="7"/>
        <v>394.03384615384601</v>
      </c>
      <c r="J85">
        <v>60</v>
      </c>
      <c r="K85" s="23">
        <v>82.427999999999997</v>
      </c>
      <c r="L85" s="23">
        <v>271.75384615384598</v>
      </c>
      <c r="M85" s="23">
        <f t="shared" si="8"/>
        <v>331.75384615384598</v>
      </c>
      <c r="N85" s="23">
        <v>30</v>
      </c>
      <c r="O85" s="23">
        <v>8.5434999999999999</v>
      </c>
      <c r="P85" s="23">
        <v>150.82338461538399</v>
      </c>
      <c r="Q85" s="23">
        <f t="shared" si="9"/>
        <v>180.82338461538399</v>
      </c>
    </row>
    <row r="86" spans="1:17">
      <c r="A86" s="20" t="s">
        <v>188</v>
      </c>
      <c r="B86">
        <v>315</v>
      </c>
      <c r="C86" s="23">
        <v>2912.8040000000001</v>
      </c>
      <c r="D86" s="23">
        <v>1651.768</v>
      </c>
      <c r="E86" s="23">
        <f t="shared" si="6"/>
        <v>1966.768</v>
      </c>
      <c r="F86">
        <v>105</v>
      </c>
      <c r="G86" s="23">
        <v>4.4424999999999999</v>
      </c>
      <c r="H86" s="23">
        <v>993.6</v>
      </c>
      <c r="I86" s="23">
        <f t="shared" si="7"/>
        <v>1098.5999999999999</v>
      </c>
      <c r="J86">
        <v>30</v>
      </c>
      <c r="K86" s="23">
        <v>0.65649999999999897</v>
      </c>
      <c r="L86" s="23">
        <v>586.95999999999901</v>
      </c>
      <c r="M86" s="23">
        <f t="shared" si="8"/>
        <v>616.95999999999901</v>
      </c>
      <c r="N86" s="23">
        <v>330</v>
      </c>
      <c r="O86" s="23">
        <v>536.83399999999995</v>
      </c>
      <c r="P86" s="23">
        <v>552.91999999999996</v>
      </c>
      <c r="Q86" s="23">
        <f t="shared" si="9"/>
        <v>882.92</v>
      </c>
    </row>
    <row r="87" spans="1:17">
      <c r="A87" s="20" t="s">
        <v>189</v>
      </c>
      <c r="B87">
        <v>0</v>
      </c>
      <c r="C87" s="23">
        <v>0</v>
      </c>
      <c r="D87" s="23">
        <v>1647.9</v>
      </c>
      <c r="E87" s="23">
        <f t="shared" si="6"/>
        <v>1647.9</v>
      </c>
      <c r="F87">
        <v>300</v>
      </c>
      <c r="G87" s="23">
        <v>3410.2925</v>
      </c>
      <c r="H87" s="23">
        <v>2632.5</v>
      </c>
      <c r="I87" s="23">
        <f t="shared" si="7"/>
        <v>2932.5</v>
      </c>
      <c r="J87">
        <v>0</v>
      </c>
      <c r="K87" s="23">
        <v>0</v>
      </c>
      <c r="L87" s="23">
        <v>1663.02</v>
      </c>
      <c r="M87" s="23">
        <f t="shared" si="8"/>
        <v>1663.02</v>
      </c>
      <c r="N87" s="23">
        <v>270</v>
      </c>
      <c r="O87" s="23">
        <v>763.79899999999998</v>
      </c>
      <c r="P87" s="23">
        <v>1207.98</v>
      </c>
      <c r="Q87" s="23">
        <f t="shared" si="9"/>
        <v>1477.98</v>
      </c>
    </row>
    <row r="88" spans="1:17">
      <c r="A88" s="20" t="s">
        <v>190</v>
      </c>
      <c r="B88">
        <v>1335</v>
      </c>
      <c r="C88" s="23">
        <v>7909.0640000000003</v>
      </c>
      <c r="D88" s="23">
        <v>3905.538</v>
      </c>
      <c r="E88" s="23">
        <f t="shared" si="6"/>
        <v>5240.5380000000005</v>
      </c>
      <c r="F88">
        <v>315</v>
      </c>
      <c r="G88" s="23">
        <v>1634.2494999999999</v>
      </c>
      <c r="H88" s="23">
        <v>1453.2</v>
      </c>
      <c r="I88" s="23">
        <f t="shared" si="7"/>
        <v>1768.2</v>
      </c>
      <c r="J88">
        <v>330</v>
      </c>
      <c r="K88" s="23">
        <v>1755.3130000000001</v>
      </c>
      <c r="L88" s="23">
        <v>1221.402</v>
      </c>
      <c r="M88" s="23">
        <f t="shared" si="8"/>
        <v>1551.402</v>
      </c>
      <c r="N88" s="23">
        <v>2190</v>
      </c>
      <c r="O88" s="23">
        <v>13393.732</v>
      </c>
      <c r="P88" s="23">
        <v>5522.0619999999999</v>
      </c>
      <c r="Q88" s="23">
        <f t="shared" si="9"/>
        <v>7712.0619999999999</v>
      </c>
    </row>
    <row r="89" spans="1:17">
      <c r="A89" s="20" t="s">
        <v>191</v>
      </c>
      <c r="B89">
        <v>600</v>
      </c>
      <c r="C89" s="23">
        <v>1355.4745</v>
      </c>
      <c r="D89" s="23">
        <v>2015.5643076923</v>
      </c>
      <c r="E89" s="23">
        <f t="shared" si="6"/>
        <v>2615.5643076922997</v>
      </c>
      <c r="F89">
        <v>645</v>
      </c>
      <c r="G89" s="23">
        <v>183.09049999999999</v>
      </c>
      <c r="H89" s="23">
        <v>966.42461538461498</v>
      </c>
      <c r="I89" s="23">
        <f t="shared" si="7"/>
        <v>1611.424615384615</v>
      </c>
      <c r="J89">
        <v>660</v>
      </c>
      <c r="K89" s="23">
        <v>203.21100000000001</v>
      </c>
      <c r="L89" s="23">
        <v>640.65969230769201</v>
      </c>
      <c r="M89" s="23">
        <f t="shared" si="8"/>
        <v>1300.659692307692</v>
      </c>
      <c r="N89" s="23">
        <v>975</v>
      </c>
      <c r="O89" s="23">
        <v>3194.8620000000001</v>
      </c>
      <c r="P89" s="23">
        <v>3264.6129230769202</v>
      </c>
      <c r="Q89" s="23">
        <f t="shared" si="9"/>
        <v>4239.6129230769202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71951-D856-499D-9DB5-7D8F2DA39BEE}">
  <dimension ref="A1:I48"/>
  <sheetViews>
    <sheetView zoomScaleNormal="100" workbookViewId="0">
      <selection activeCell="E11" sqref="E11"/>
    </sheetView>
  </sheetViews>
  <sheetFormatPr defaultRowHeight="14.45"/>
  <cols>
    <col min="2" max="2" width="21" customWidth="1"/>
    <col min="3" max="3" width="17.140625" customWidth="1"/>
    <col min="4" max="4" width="21" customWidth="1"/>
    <col min="5" max="5" width="25.140625" customWidth="1"/>
    <col min="6" max="6" width="10.7109375" bestFit="1" customWidth="1"/>
  </cols>
  <sheetData>
    <row r="1" spans="1:9" ht="21">
      <c r="A1" s="16" t="s">
        <v>193</v>
      </c>
      <c r="E1" t="s">
        <v>194</v>
      </c>
    </row>
    <row r="2" spans="1:9" s="17" customFormat="1" ht="18.600000000000001">
      <c r="A2" s="21" t="s">
        <v>30</v>
      </c>
    </row>
    <row r="3" spans="1:9">
      <c r="A3" s="2"/>
      <c r="B3" s="2" t="s">
        <v>112</v>
      </c>
      <c r="C3" s="2" t="s">
        <v>28</v>
      </c>
      <c r="D3" s="2" t="s">
        <v>113</v>
      </c>
      <c r="E3" s="2" t="s">
        <v>114</v>
      </c>
    </row>
    <row r="4" spans="1:9">
      <c r="A4">
        <v>2013</v>
      </c>
      <c r="B4" s="24">
        <v>-87208.13615625001</v>
      </c>
      <c r="C4" s="24">
        <v>-18976.424288118098</v>
      </c>
      <c r="D4" s="24">
        <v>29355.030336881799</v>
      </c>
      <c r="E4" s="24">
        <v>-3714.5736565590701</v>
      </c>
    </row>
    <row r="5" spans="1:9">
      <c r="A5">
        <v>2014</v>
      </c>
      <c r="B5" s="24">
        <v>-85652.955454944997</v>
      </c>
      <c r="C5" s="24">
        <v>-11582.368739629101</v>
      </c>
      <c r="D5" s="24">
        <v>46289.721065315905</v>
      </c>
      <c r="E5" s="24">
        <v>9919.3214926854307</v>
      </c>
    </row>
    <row r="6" spans="1:9">
      <c r="A6">
        <v>2015</v>
      </c>
      <c r="B6" s="24">
        <v>-116681.89117499899</v>
      </c>
      <c r="C6" s="24">
        <v>-2880.9998999999798</v>
      </c>
      <c r="D6" s="24">
        <v>95923.083599999896</v>
      </c>
      <c r="E6" s="24">
        <v>36132.867787499999</v>
      </c>
    </row>
    <row r="7" spans="1:9">
      <c r="A7">
        <v>2016</v>
      </c>
      <c r="B7" s="24">
        <v>-168550.49690594201</v>
      </c>
      <c r="C7" s="24">
        <v>65788.439110450796</v>
      </c>
      <c r="D7" s="24">
        <v>215256.65789323699</v>
      </c>
      <c r="E7" s="24">
        <v>122661.34789333999</v>
      </c>
    </row>
    <row r="8" spans="1:9">
      <c r="A8">
        <v>2017</v>
      </c>
      <c r="B8" s="24">
        <v>-234941.842574999</v>
      </c>
      <c r="C8" s="24">
        <v>-4613.8286714875194</v>
      </c>
      <c r="D8" s="24">
        <v>172158.181828512</v>
      </c>
      <c r="E8" s="24">
        <v>67580.371664256207</v>
      </c>
    </row>
    <row r="9" spans="1:9">
      <c r="A9">
        <v>2018</v>
      </c>
      <c r="B9" s="24">
        <v>-175205.00081906401</v>
      </c>
      <c r="C9" s="24">
        <v>95445.577578712109</v>
      </c>
      <c r="D9" s="24">
        <v>219489.01821878701</v>
      </c>
      <c r="E9" s="24">
        <v>125243.08841052699</v>
      </c>
    </row>
    <row r="10" spans="1:9">
      <c r="A10">
        <v>2019</v>
      </c>
      <c r="B10" s="24">
        <v>-155262.26628254901</v>
      </c>
      <c r="C10" s="24">
        <v>178886.05638243101</v>
      </c>
      <c r="D10" s="24">
        <v>274467.33246560098</v>
      </c>
      <c r="E10" s="24">
        <v>163032.57767942199</v>
      </c>
      <c r="G10" s="15"/>
    </row>
    <row r="11" spans="1:9">
      <c r="A11">
        <v>2020</v>
      </c>
      <c r="B11" s="24">
        <v>-50466.429125609902</v>
      </c>
      <c r="C11" s="24">
        <v>152503.48560722402</v>
      </c>
      <c r="D11" s="24">
        <v>176368.03960502899</v>
      </c>
      <c r="E11" s="24">
        <v>112120.145519329</v>
      </c>
    </row>
    <row r="12" spans="1:9">
      <c r="A12">
        <v>2021</v>
      </c>
      <c r="B12" s="24">
        <v>36721.427696334402</v>
      </c>
      <c r="C12" s="24">
        <v>335427.22158456297</v>
      </c>
      <c r="D12" s="24">
        <v>275674.63629323599</v>
      </c>
      <c r="E12" s="24">
        <v>230489.93088218599</v>
      </c>
    </row>
    <row r="14" spans="1:9" s="17" customFormat="1" ht="18.600000000000001">
      <c r="A14" s="21" t="s">
        <v>122</v>
      </c>
    </row>
    <row r="15" spans="1:9">
      <c r="A15" s="2" t="s">
        <v>7</v>
      </c>
      <c r="B15" s="2" t="s">
        <v>112</v>
      </c>
      <c r="C15" s="2" t="s">
        <v>28</v>
      </c>
      <c r="D15" s="2" t="s">
        <v>113</v>
      </c>
      <c r="E15" s="2" t="s">
        <v>114</v>
      </c>
    </row>
    <row r="16" spans="1:9">
      <c r="A16">
        <v>2013</v>
      </c>
      <c r="B16" s="24">
        <v>-80744.440020947804</v>
      </c>
      <c r="C16" s="24">
        <v>-24519.277169505502</v>
      </c>
      <c r="D16" s="24">
        <v>14206.887363461399</v>
      </c>
      <c r="E16" s="24">
        <v>-13819.883015521898</v>
      </c>
      <c r="F16" s="15"/>
      <c r="G16" s="15"/>
      <c r="H16" s="15"/>
      <c r="I16" s="15"/>
    </row>
    <row r="17" spans="1:9">
      <c r="A17">
        <v>2014</v>
      </c>
      <c r="B17" s="24">
        <v>-76417.767225000003</v>
      </c>
      <c r="C17" s="24">
        <v>-13681.3374</v>
      </c>
      <c r="D17" s="24">
        <v>31075.698599999898</v>
      </c>
      <c r="E17" s="24">
        <v>566.73573749996297</v>
      </c>
      <c r="F17" s="15"/>
      <c r="G17" s="15"/>
      <c r="H17" s="15"/>
      <c r="I17" s="15"/>
    </row>
    <row r="18" spans="1:9">
      <c r="A18">
        <v>2015</v>
      </c>
      <c r="B18" s="24">
        <v>-91143.156149999995</v>
      </c>
      <c r="C18" s="24">
        <v>3468.6866769231001</v>
      </c>
      <c r="D18" s="24">
        <v>70412.432676923097</v>
      </c>
      <c r="E18" s="24">
        <v>23282.7520759615</v>
      </c>
      <c r="F18" s="15"/>
      <c r="G18" s="15"/>
      <c r="H18" s="15"/>
      <c r="I18" s="15"/>
    </row>
    <row r="19" spans="1:9">
      <c r="A19">
        <v>2016</v>
      </c>
      <c r="B19" s="24">
        <v>-165516.79398565501</v>
      </c>
      <c r="C19" s="24">
        <v>53609.442012294996</v>
      </c>
      <c r="D19" s="24">
        <v>188103.184709016</v>
      </c>
      <c r="E19" s="24">
        <v>102449.486660348</v>
      </c>
      <c r="F19" s="15"/>
      <c r="G19" s="15"/>
      <c r="H19" s="15"/>
      <c r="I19" s="15"/>
    </row>
    <row r="20" spans="1:9">
      <c r="A20">
        <v>2017</v>
      </c>
      <c r="B20" s="24">
        <v>-197343.85994999899</v>
      </c>
      <c r="C20" s="24">
        <v>-2419.1260045625199</v>
      </c>
      <c r="D20" s="24">
        <v>132351.34699543702</v>
      </c>
      <c r="E20" s="24">
        <v>41089.9178102187</v>
      </c>
      <c r="F20" s="15"/>
      <c r="G20" s="15"/>
      <c r="H20" s="15"/>
      <c r="I20" s="15"/>
    </row>
    <row r="21" spans="1:9">
      <c r="A21">
        <v>2018</v>
      </c>
      <c r="B21" s="24">
        <v>-131177.91442500002</v>
      </c>
      <c r="C21" s="24">
        <v>106533.855516942</v>
      </c>
      <c r="D21" s="24">
        <v>182740.07301694201</v>
      </c>
      <c r="E21" s="24">
        <v>105133.114045971</v>
      </c>
      <c r="F21" s="15"/>
      <c r="G21" s="15"/>
      <c r="H21" s="15"/>
      <c r="I21" s="15"/>
    </row>
    <row r="22" spans="1:9">
      <c r="A22">
        <v>2019</v>
      </c>
      <c r="B22" s="24">
        <v>-112383.929694761</v>
      </c>
      <c r="C22" s="24">
        <v>178332.12397834001</v>
      </c>
      <c r="D22" s="24">
        <v>233346.87543653199</v>
      </c>
      <c r="E22" s="24">
        <v>125644.582224564</v>
      </c>
      <c r="F22" s="15"/>
      <c r="G22" s="15"/>
      <c r="H22" s="15"/>
      <c r="I22" s="15"/>
    </row>
    <row r="23" spans="1:9">
      <c r="A23">
        <v>2020</v>
      </c>
      <c r="B23" s="24">
        <v>-60276.771214018503</v>
      </c>
      <c r="C23" s="24">
        <v>124721.691625829</v>
      </c>
      <c r="D23" s="24">
        <v>151684.83880951998</v>
      </c>
      <c r="E23" s="24">
        <v>77791.978998725899</v>
      </c>
      <c r="F23" s="15"/>
      <c r="G23" s="15"/>
      <c r="H23" s="15"/>
      <c r="I23" s="15"/>
    </row>
    <row r="24" spans="1:9">
      <c r="A24">
        <v>2021</v>
      </c>
      <c r="B24" s="24">
        <v>15078.273644008301</v>
      </c>
      <c r="C24" s="24">
        <v>280032.60056520801</v>
      </c>
      <c r="D24" s="24">
        <v>222149.07697944198</v>
      </c>
      <c r="E24" s="24">
        <v>162383.18409119701</v>
      </c>
      <c r="F24" s="15"/>
      <c r="G24" s="15"/>
      <c r="H24" s="15"/>
      <c r="I24" s="15"/>
    </row>
    <row r="26" spans="1:9" s="17" customFormat="1" ht="18.600000000000001">
      <c r="A26" s="21" t="s">
        <v>124</v>
      </c>
    </row>
    <row r="27" spans="1:9">
      <c r="A27" s="2" t="s">
        <v>7</v>
      </c>
      <c r="B27" s="2" t="s">
        <v>112</v>
      </c>
      <c r="C27" s="2" t="s">
        <v>28</v>
      </c>
      <c r="D27" s="2" t="s">
        <v>113</v>
      </c>
      <c r="E27" s="2" t="s">
        <v>114</v>
      </c>
    </row>
    <row r="28" spans="1:9">
      <c r="A28">
        <v>2013</v>
      </c>
      <c r="B28" s="24">
        <v>-134011.63662774701</v>
      </c>
      <c r="C28" s="24">
        <v>-12114.625119475</v>
      </c>
      <c r="D28" s="24">
        <v>78589.825884645703</v>
      </c>
      <c r="E28" s="24">
        <v>7977.3056381159895</v>
      </c>
    </row>
    <row r="29" spans="1:9">
      <c r="A29">
        <v>2014</v>
      </c>
      <c r="B29" s="24">
        <v>-105142.514801</v>
      </c>
      <c r="C29" s="24">
        <v>-1785.9447134775198</v>
      </c>
      <c r="D29" s="24">
        <v>73977.311187522704</v>
      </c>
      <c r="E29" s="24">
        <v>17732.2392303491</v>
      </c>
    </row>
    <row r="30" spans="1:9">
      <c r="A30">
        <v>2015</v>
      </c>
      <c r="B30" s="24">
        <v>-143895.99663409</v>
      </c>
      <c r="C30" s="24">
        <v>11678.008134178301</v>
      </c>
      <c r="D30" s="24">
        <v>132861.50554326901</v>
      </c>
      <c r="E30" s="24">
        <v>44825.521609007897</v>
      </c>
    </row>
    <row r="31" spans="1:9">
      <c r="A31">
        <v>2016</v>
      </c>
      <c r="B31" s="24">
        <v>-205256.58865405701</v>
      </c>
      <c r="C31" s="24">
        <v>84425.925851428794</v>
      </c>
      <c r="D31" s="24">
        <v>258403.39889846099</v>
      </c>
      <c r="E31" s="24">
        <v>143388.34559832001</v>
      </c>
    </row>
    <row r="32" spans="1:9">
      <c r="A32">
        <v>2017</v>
      </c>
      <c r="B32" s="24">
        <v>-225960.88839377899</v>
      </c>
      <c r="C32" s="24">
        <v>8748.6331349978409</v>
      </c>
      <c r="D32" s="24">
        <v>170846.98312877602</v>
      </c>
      <c r="E32" s="24">
        <v>69853.937954998895</v>
      </c>
    </row>
    <row r="33" spans="1:5">
      <c r="A33">
        <v>2018</v>
      </c>
      <c r="B33" s="24">
        <v>-135841.08717460898</v>
      </c>
      <c r="C33" s="24">
        <v>127657.45248157199</v>
      </c>
      <c r="D33" s="24">
        <v>206138.619214465</v>
      </c>
      <c r="E33" s="24">
        <v>127260.584455057</v>
      </c>
    </row>
    <row r="34" spans="1:5">
      <c r="A34">
        <v>2019</v>
      </c>
      <c r="B34" s="24">
        <v>-21124.930792537998</v>
      </c>
      <c r="C34" s="24">
        <v>254163.004238152</v>
      </c>
      <c r="D34" s="24">
        <v>216566.939928418</v>
      </c>
      <c r="E34" s="24">
        <v>166002.60781838797</v>
      </c>
    </row>
    <row r="35" spans="1:5">
      <c r="A35">
        <v>2020</v>
      </c>
      <c r="B35" s="24">
        <v>64620.763295462995</v>
      </c>
      <c r="C35" s="24">
        <v>226272.53917437399</v>
      </c>
      <c r="D35" s="24">
        <v>133079.06331662901</v>
      </c>
      <c r="E35" s="24">
        <v>138879.86998399798</v>
      </c>
    </row>
    <row r="36" spans="1:5">
      <c r="A36">
        <v>2021</v>
      </c>
      <c r="B36" s="24">
        <v>188430.87559525701</v>
      </c>
      <c r="C36" s="24">
        <v>427266.58516436204</v>
      </c>
      <c r="D36" s="24">
        <v>208553.33423765199</v>
      </c>
      <c r="E36" s="24">
        <v>239551.92971856301</v>
      </c>
    </row>
    <row r="38" spans="1:5" s="19" customFormat="1" ht="21">
      <c r="A38" s="21" t="s">
        <v>123</v>
      </c>
    </row>
    <row r="39" spans="1:5">
      <c r="A39" s="2" t="s">
        <v>7</v>
      </c>
      <c r="B39" s="2" t="s">
        <v>112</v>
      </c>
      <c r="C39" s="2" t="s">
        <v>28</v>
      </c>
      <c r="D39" s="2" t="s">
        <v>113</v>
      </c>
      <c r="E39" s="2" t="s">
        <v>114</v>
      </c>
    </row>
    <row r="40" spans="1:5">
      <c r="A40">
        <v>2013</v>
      </c>
      <c r="B40" s="24">
        <v>-153158.327747053</v>
      </c>
      <c r="C40" s="24">
        <v>-27383.852536541202</v>
      </c>
      <c r="D40" s="24">
        <v>84489.773162779005</v>
      </c>
      <c r="E40" s="24">
        <v>1787.1638518432101</v>
      </c>
    </row>
    <row r="41" spans="1:5">
      <c r="A41">
        <v>2014</v>
      </c>
      <c r="B41" s="24">
        <v>-83771.003040254203</v>
      </c>
      <c r="C41" s="24">
        <v>13191.8171689829</v>
      </c>
      <c r="D41" s="24">
        <v>70376.275259237111</v>
      </c>
      <c r="E41" s="24">
        <v>23045.261868158603</v>
      </c>
    </row>
    <row r="42" spans="1:5">
      <c r="A42">
        <v>2015</v>
      </c>
      <c r="B42" s="24">
        <v>-106895.00339999999</v>
      </c>
      <c r="C42" s="24">
        <v>31056.596536141398</v>
      </c>
      <c r="D42" s="24">
        <v>115793.450536141</v>
      </c>
      <c r="E42" s="24">
        <v>42701.911203175201</v>
      </c>
    </row>
    <row r="43" spans="1:5">
      <c r="A43">
        <v>2016</v>
      </c>
      <c r="B43" s="24">
        <v>-189663.72268647503</v>
      </c>
      <c r="C43" s="24">
        <v>75144.73917184741</v>
      </c>
      <c r="D43" s="24">
        <v>234799.95050791299</v>
      </c>
      <c r="E43" s="24">
        <v>119438.22281499099</v>
      </c>
    </row>
    <row r="44" spans="1:5">
      <c r="A44">
        <v>2017</v>
      </c>
      <c r="B44" s="24">
        <v>-188548.85032159</v>
      </c>
      <c r="C44" s="24">
        <v>53043.265879936298</v>
      </c>
      <c r="D44" s="24">
        <v>187361.52328009799</v>
      </c>
      <c r="E44" s="24">
        <v>75355.141701261207</v>
      </c>
    </row>
    <row r="45" spans="1:5">
      <c r="A45">
        <v>2018</v>
      </c>
      <c r="B45" s="24">
        <v>-102728.76710934</v>
      </c>
      <c r="C45" s="24">
        <v>136391.63424848899</v>
      </c>
      <c r="D45" s="24">
        <v>189500.12940782899</v>
      </c>
      <c r="E45" s="24">
        <v>109236.592361744</v>
      </c>
    </row>
    <row r="46" spans="1:5">
      <c r="A46">
        <v>2019</v>
      </c>
      <c r="B46" s="24">
        <v>-13056.4256683899</v>
      </c>
      <c r="C46" s="24">
        <v>250738.59840921999</v>
      </c>
      <c r="D46" s="24">
        <v>212178.66340405602</v>
      </c>
      <c r="E46" s="24">
        <v>141188.83295522098</v>
      </c>
    </row>
    <row r="47" spans="1:5">
      <c r="A47">
        <v>2020</v>
      </c>
      <c r="B47" s="24">
        <v>28465.277851205501</v>
      </c>
      <c r="C47" s="24">
        <v>207034.199443052</v>
      </c>
      <c r="D47" s="24">
        <v>148240.10860516599</v>
      </c>
      <c r="E47" s="24">
        <v>90853.411414104005</v>
      </c>
    </row>
    <row r="48" spans="1:5">
      <c r="A48">
        <v>2021</v>
      </c>
      <c r="B48" s="24">
        <v>104313.810346365</v>
      </c>
      <c r="C48" s="24">
        <v>425150.87255311897</v>
      </c>
      <c r="D48" s="24">
        <v>277682.76445029699</v>
      </c>
      <c r="E48" s="24">
        <v>202269.03294810798</v>
      </c>
    </row>
  </sheetData>
  <conditionalFormatting sqref="B4:E12">
    <cfRule type="cellIs" dxfId="3" priority="4" operator="lessThan">
      <formula>0</formula>
    </cfRule>
  </conditionalFormatting>
  <conditionalFormatting sqref="B16:E24">
    <cfRule type="cellIs" dxfId="2" priority="3" operator="lessThan">
      <formula>0</formula>
    </cfRule>
  </conditionalFormatting>
  <conditionalFormatting sqref="B28:E36">
    <cfRule type="cellIs" dxfId="1" priority="2" operator="lessThan">
      <formula>0</formula>
    </cfRule>
  </conditionalFormatting>
  <conditionalFormatting sqref="B40:E48">
    <cfRule type="cellIs" dxfId="0" priority="1" operator="lessThan">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9E028-4706-4A20-B5A7-ED84E7D0BC7F}">
  <dimension ref="A1:I15"/>
  <sheetViews>
    <sheetView workbookViewId="0">
      <selection activeCell="K15" sqref="K15"/>
    </sheetView>
  </sheetViews>
  <sheetFormatPr defaultRowHeight="14.45"/>
  <cols>
    <col min="1" max="1" width="27.7109375" customWidth="1"/>
    <col min="2" max="2" width="15.42578125" customWidth="1"/>
    <col min="3" max="4" width="12.140625" bestFit="1" customWidth="1"/>
    <col min="5" max="5" width="14.140625" customWidth="1"/>
    <col min="6" max="6" width="13.42578125" customWidth="1"/>
    <col min="7" max="7" width="12.140625" bestFit="1" customWidth="1"/>
    <col min="8" max="8" width="13.5703125" customWidth="1"/>
    <col min="9" max="9" width="14.42578125" customWidth="1"/>
  </cols>
  <sheetData>
    <row r="1" spans="1:9" ht="21">
      <c r="A1" s="16" t="s">
        <v>195</v>
      </c>
      <c r="C1" t="s">
        <v>196</v>
      </c>
    </row>
    <row r="2" spans="1:9" s="17" customFormat="1" ht="18.600000000000001">
      <c r="A2" s="21" t="s">
        <v>197</v>
      </c>
      <c r="B2" s="18"/>
      <c r="C2" s="18"/>
      <c r="D2" s="18"/>
    </row>
    <row r="3" spans="1:9">
      <c r="A3" s="46"/>
      <c r="B3" s="2">
        <v>2013</v>
      </c>
      <c r="C3" s="2">
        <v>2014</v>
      </c>
      <c r="D3" s="2">
        <v>2015</v>
      </c>
      <c r="E3" s="2">
        <v>2016</v>
      </c>
      <c r="F3" s="2">
        <v>2017</v>
      </c>
      <c r="G3" s="2">
        <v>2018</v>
      </c>
      <c r="H3" s="2">
        <v>2019</v>
      </c>
      <c r="I3" s="8">
        <v>2020</v>
      </c>
    </row>
    <row r="4" spans="1:9">
      <c r="A4" s="5" t="s">
        <v>122</v>
      </c>
      <c r="B4" s="24">
        <v>43570</v>
      </c>
      <c r="C4" s="24">
        <v>67931</v>
      </c>
      <c r="D4" s="24">
        <v>63079</v>
      </c>
      <c r="E4" s="24">
        <v>273962</v>
      </c>
      <c r="F4" s="24">
        <v>707894</v>
      </c>
      <c r="G4" s="24">
        <v>606745</v>
      </c>
      <c r="H4" s="24">
        <v>655619</v>
      </c>
      <c r="I4" s="25">
        <v>612343</v>
      </c>
    </row>
    <row r="5" spans="1:9">
      <c r="A5" s="5" t="s">
        <v>123</v>
      </c>
      <c r="B5" s="24">
        <v>48081</v>
      </c>
      <c r="C5" s="24">
        <v>84073</v>
      </c>
      <c r="D5" s="24">
        <v>74905</v>
      </c>
      <c r="E5" s="24">
        <v>277983</v>
      </c>
      <c r="F5" s="24">
        <v>726868</v>
      </c>
      <c r="G5" s="24">
        <v>773899</v>
      </c>
      <c r="H5" s="24">
        <v>669179</v>
      </c>
      <c r="I5" s="25">
        <v>633397</v>
      </c>
    </row>
    <row r="6" spans="1:9">
      <c r="A6" s="5" t="s">
        <v>124</v>
      </c>
      <c r="B6" s="24">
        <v>95492</v>
      </c>
      <c r="C6" s="24">
        <v>77569</v>
      </c>
      <c r="D6" s="24">
        <v>898843</v>
      </c>
      <c r="E6" s="24">
        <v>1675720</v>
      </c>
      <c r="F6" s="24">
        <v>1821220</v>
      </c>
      <c r="G6" s="24">
        <v>685072</v>
      </c>
      <c r="H6" s="24">
        <v>824969</v>
      </c>
      <c r="I6" s="25">
        <v>1402587</v>
      </c>
    </row>
    <row r="7" spans="1:9">
      <c r="A7" s="5" t="s">
        <v>30</v>
      </c>
      <c r="B7" s="24">
        <v>43570</v>
      </c>
      <c r="C7" s="24">
        <v>67931</v>
      </c>
      <c r="D7" s="24">
        <v>63079</v>
      </c>
      <c r="E7" s="24">
        <v>273962</v>
      </c>
      <c r="F7" s="24">
        <v>707894</v>
      </c>
      <c r="G7" s="24">
        <v>606745</v>
      </c>
      <c r="H7" s="24">
        <v>652165</v>
      </c>
      <c r="I7" s="25">
        <v>526232</v>
      </c>
    </row>
    <row r="8" spans="1:9">
      <c r="A8" s="5"/>
      <c r="B8" s="24"/>
      <c r="C8" s="24"/>
      <c r="D8" s="24"/>
      <c r="E8" s="24"/>
      <c r="F8" s="24"/>
      <c r="G8" s="24"/>
      <c r="H8" s="24"/>
      <c r="I8" s="25"/>
    </row>
    <row r="9" spans="1:9" s="17" customFormat="1" ht="18.600000000000001">
      <c r="A9" s="21" t="s">
        <v>198</v>
      </c>
      <c r="B9" s="18"/>
      <c r="C9" s="10" t="s">
        <v>199</v>
      </c>
      <c r="D9" s="9">
        <v>0.5</v>
      </c>
    </row>
    <row r="10" spans="1:9">
      <c r="A10" s="46"/>
      <c r="B10" s="2">
        <v>2013</v>
      </c>
      <c r="C10" s="2">
        <v>2014</v>
      </c>
      <c r="D10" s="2">
        <v>2015</v>
      </c>
      <c r="E10" s="2">
        <v>2016</v>
      </c>
      <c r="F10" s="2">
        <v>2017</v>
      </c>
      <c r="G10" s="2">
        <v>2018</v>
      </c>
      <c r="H10" s="2">
        <v>2019</v>
      </c>
      <c r="I10" s="8">
        <v>2020</v>
      </c>
    </row>
    <row r="11" spans="1:9">
      <c r="A11" s="5" t="s">
        <v>122</v>
      </c>
      <c r="B11" s="24">
        <f t="shared" ref="B11:I14" si="0">B4*(100%-$D$9)</f>
        <v>21785</v>
      </c>
      <c r="C11" s="24">
        <f t="shared" si="0"/>
        <v>33965.5</v>
      </c>
      <c r="D11" s="24">
        <f t="shared" si="0"/>
        <v>31539.5</v>
      </c>
      <c r="E11" s="24">
        <f t="shared" si="0"/>
        <v>136981</v>
      </c>
      <c r="F11" s="24">
        <f t="shared" si="0"/>
        <v>353947</v>
      </c>
      <c r="G11" s="24">
        <f t="shared" si="0"/>
        <v>303372.5</v>
      </c>
      <c r="H11" s="24">
        <f t="shared" si="0"/>
        <v>327809.5</v>
      </c>
      <c r="I11" s="25">
        <f t="shared" si="0"/>
        <v>306171.5</v>
      </c>
    </row>
    <row r="12" spans="1:9">
      <c r="A12" s="5" t="s">
        <v>123</v>
      </c>
      <c r="B12" s="24">
        <f t="shared" si="0"/>
        <v>24040.5</v>
      </c>
      <c r="C12" s="24">
        <f t="shared" si="0"/>
        <v>42036.5</v>
      </c>
      <c r="D12" s="24">
        <f t="shared" si="0"/>
        <v>37452.5</v>
      </c>
      <c r="E12" s="24">
        <f t="shared" si="0"/>
        <v>138991.5</v>
      </c>
      <c r="F12" s="24">
        <f t="shared" si="0"/>
        <v>363434</v>
      </c>
      <c r="G12" s="24">
        <f t="shared" si="0"/>
        <v>386949.5</v>
      </c>
      <c r="H12" s="24">
        <f t="shared" si="0"/>
        <v>334589.5</v>
      </c>
      <c r="I12" s="25">
        <f t="shared" si="0"/>
        <v>316698.5</v>
      </c>
    </row>
    <row r="13" spans="1:9">
      <c r="A13" s="5" t="s">
        <v>124</v>
      </c>
      <c r="B13" s="24">
        <f t="shared" si="0"/>
        <v>47746</v>
      </c>
      <c r="C13" s="24">
        <f t="shared" si="0"/>
        <v>38784.5</v>
      </c>
      <c r="D13" s="24">
        <f t="shared" si="0"/>
        <v>449421.5</v>
      </c>
      <c r="E13" s="24">
        <f t="shared" si="0"/>
        <v>837860</v>
      </c>
      <c r="F13" s="24">
        <f t="shared" si="0"/>
        <v>910610</v>
      </c>
      <c r="G13" s="24">
        <f t="shared" si="0"/>
        <v>342536</v>
      </c>
      <c r="H13" s="24">
        <f t="shared" si="0"/>
        <v>412484.5</v>
      </c>
      <c r="I13" s="25">
        <f t="shared" si="0"/>
        <v>701293.5</v>
      </c>
    </row>
    <row r="14" spans="1:9">
      <c r="A14" s="6" t="s">
        <v>30</v>
      </c>
      <c r="B14" s="26">
        <f t="shared" si="0"/>
        <v>21785</v>
      </c>
      <c r="C14" s="26">
        <f t="shared" si="0"/>
        <v>33965.5</v>
      </c>
      <c r="D14" s="26">
        <f t="shared" si="0"/>
        <v>31539.5</v>
      </c>
      <c r="E14" s="26">
        <f t="shared" si="0"/>
        <v>136981</v>
      </c>
      <c r="F14" s="26">
        <f t="shared" si="0"/>
        <v>353947</v>
      </c>
      <c r="G14" s="26">
        <f t="shared" si="0"/>
        <v>303372.5</v>
      </c>
      <c r="H14" s="26">
        <f t="shared" si="0"/>
        <v>326082.5</v>
      </c>
      <c r="I14" s="27">
        <f t="shared" si="0"/>
        <v>263116</v>
      </c>
    </row>
    <row r="15" spans="1:9">
      <c r="G15" s="24"/>
      <c r="H15" s="24"/>
      <c r="I15" s="2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C8A8228722BB4585A10C67824CADB7" ma:contentTypeVersion="19" ma:contentTypeDescription="Create a new document." ma:contentTypeScope="" ma:versionID="4ae918eb059f5598a06f809baabdfcb4">
  <xsd:schema xmlns:xsd="http://www.w3.org/2001/XMLSchema" xmlns:xs="http://www.w3.org/2001/XMLSchema" xmlns:p="http://schemas.microsoft.com/office/2006/metadata/properties" xmlns:ns2="8bc910bc-50a9-4e76-8da1-6d8db2685cea" xmlns:ns3="8a039217-511f-441c-ad84-962884ee8753" xmlns:ns4="c30e2885-58e1-4e94-9dc7-f83158e7ef28" targetNamespace="http://schemas.microsoft.com/office/2006/metadata/properties" ma:root="true" ma:fieldsID="16e25ca7f9c0ece85231ccb368e7231f" ns2:_="" ns3:_="" ns4:_="">
    <xsd:import namespace="8bc910bc-50a9-4e76-8da1-6d8db2685cea"/>
    <xsd:import namespace="8a039217-511f-441c-ad84-962884ee8753"/>
    <xsd:import namespace="c30e2885-58e1-4e94-9dc7-f83158e7ef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CredittoDionGeorgopoulos_x002c_CanberraTimes" minOccurs="0"/>
                <xsd:element ref="ns2:MediaLengthInSeconds" minOccurs="0"/>
                <xsd:element ref="ns2:lcf76f155ced4ddcb4097134ff3c332f" minOccurs="0"/>
                <xsd:element ref="ns4:TaxCatchAll" minOccurs="0"/>
                <xsd:element ref="ns2:Draft_x002f_Final" minOccurs="0"/>
                <xsd:element ref="ns2:Signatur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910bc-50a9-4e76-8da1-6d8db2685c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CredittoDionGeorgopoulos_x002c_CanberraTimes" ma:index="20" nillable="true" ma:displayName="Credit to Dion Georgopoulos, Canberra Times" ma:format="Dropdown" ma:internalName="CredittoDionGeorgopoulos_x002c_CanberraTimes">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0858339-22dc-49f9-bed0-4b2c0ae499df" ma:termSetId="09814cd3-568e-fe90-9814-8d621ff8fb84" ma:anchorId="fba54fb3-c3e1-fe81-a776-ca4b69148c4d" ma:open="true" ma:isKeyword="false">
      <xsd:complexType>
        <xsd:sequence>
          <xsd:element ref="pc:Terms" minOccurs="0" maxOccurs="1"/>
        </xsd:sequence>
      </xsd:complexType>
    </xsd:element>
    <xsd:element name="Draft_x002f_Final" ma:index="25" nillable="true" ma:displayName="Draft/Final" ma:format="Dropdown" ma:internalName="Draft_x002f_Final">
      <xsd:simpleType>
        <xsd:restriction base="dms:Choice">
          <xsd:enumeration value="Draft"/>
          <xsd:enumeration value="Final"/>
        </xsd:restriction>
      </xsd:simpleType>
    </xsd:element>
    <xsd:element name="SignatureStatus" ma:index="26" nillable="true" ma:displayName="Signature Status" ma:default="Draft" ma:format="RadioButtons" ma:internalName="SignatureStatus">
      <xsd:simpleType>
        <xsd:restriction base="dms:Choice">
          <xsd:enumeration value="Draft"/>
          <xsd:enumeration value="Partially Signed"/>
          <xsd:enumeration value="Fully Signed"/>
        </xsd:restriction>
      </xsd:simpleType>
    </xsd:element>
  </xsd:schema>
  <xsd:schema xmlns:xsd="http://www.w3.org/2001/XMLSchema" xmlns:xs="http://www.w3.org/2001/XMLSchema" xmlns:dms="http://schemas.microsoft.com/office/2006/documentManagement/types" xmlns:pc="http://schemas.microsoft.com/office/infopath/2007/PartnerControls" targetNamespace="8a039217-511f-441c-ad84-962884ee87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0e2885-58e1-4e94-9dc7-f83158e7ef2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ac09193d-c966-4e7a-ba85-1122a4898d6a}" ma:internalName="TaxCatchAll" ma:showField="CatchAllData" ma:web="8a039217-511f-441c-ad84-962884ee8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redittoDionGeorgopoulos_x002c_CanberraTimes xmlns="8bc910bc-50a9-4e76-8da1-6d8db2685cea" xsi:nil="true"/>
    <TaxCatchAll xmlns="c30e2885-58e1-4e94-9dc7-f83158e7ef28" xsi:nil="true"/>
    <lcf76f155ced4ddcb4097134ff3c332f xmlns="8bc910bc-50a9-4e76-8da1-6d8db2685cea">
      <Terms xmlns="http://schemas.microsoft.com/office/infopath/2007/PartnerControls"/>
    </lcf76f155ced4ddcb4097134ff3c332f>
    <Draft_x002f_Final xmlns="8bc910bc-50a9-4e76-8da1-6d8db2685cea" xsi:nil="true"/>
    <SignatureStatus xmlns="8bc910bc-50a9-4e76-8da1-6d8db2685cea">Draft</SignatureStatus>
  </documentManagement>
</p:properties>
</file>

<file path=customXml/itemProps1.xml><?xml version="1.0" encoding="utf-8"?>
<ds:datastoreItem xmlns:ds="http://schemas.openxmlformats.org/officeDocument/2006/customXml" ds:itemID="{BB4CB3E6-6222-4FBD-A297-935FA2667A3F}"/>
</file>

<file path=customXml/itemProps2.xml><?xml version="1.0" encoding="utf-8"?>
<ds:datastoreItem xmlns:ds="http://schemas.openxmlformats.org/officeDocument/2006/customXml" ds:itemID="{7BD3D893-6FDE-431F-BAD6-7843E13F1373}"/>
</file>

<file path=customXml/itemProps3.xml><?xml version="1.0" encoding="utf-8"?>
<ds:datastoreItem xmlns:ds="http://schemas.openxmlformats.org/officeDocument/2006/customXml" ds:itemID="{3180117F-7374-4A2F-82C0-5E570A2893D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Bardwell</dc:creator>
  <cp:keywords/>
  <dc:description/>
  <cp:lastModifiedBy>Louise Bardwell</cp:lastModifiedBy>
  <cp:revision/>
  <dcterms:created xsi:type="dcterms:W3CDTF">2022-05-02T05:13:50Z</dcterms:created>
  <dcterms:modified xsi:type="dcterms:W3CDTF">2022-11-07T01:04:17Z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0x010100B4C8A8228722BB4585A10C67824CADB7</vt:lpwstr>
  </property>
  <property fmtid="{D5CDD505-2E9C-101B-9397-08002B2CF9AE}" pid="3" name="MediaServiceImageTags">
    <vt:lpwstr/>
  </property>
</Properties>
</file>